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ontents" sheetId="1" r:id="rId1"/>
    <sheet name="Tie Out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</sheets>
  <externalReferences>
    <externalReference r:id="rId12"/>
  </externalReferences>
  <definedNames>
    <definedName name="gradres2">'[1]Tie Out'!$A$71:$G$132</definedName>
    <definedName name="gradres3">'[1]Tie Out'!$B$19</definedName>
    <definedName name="GradResp">'[1]Tie Out'!$A$2:$G$70</definedName>
    <definedName name="n2" localSheetId="0">#REF!</definedName>
    <definedName name="n2" localSheetId="5">'PART3'!$C$16</definedName>
    <definedName name="n2" localSheetId="6">'PART4'!$C$13</definedName>
    <definedName name="n2" localSheetId="7">'Part5'!$C$14</definedName>
    <definedName name="n2">'PART2'!$C$14</definedName>
    <definedName name="n4" localSheetId="0">#REF!</definedName>
    <definedName name="n4" localSheetId="5">'PART3'!#REF!</definedName>
    <definedName name="n4" localSheetId="6">'PART4'!#REF!</definedName>
    <definedName name="n4" localSheetId="7">'Part5'!#REF!</definedName>
    <definedName name="n4">'PART2'!#REF!</definedName>
    <definedName name="n5" localSheetId="0">#REF!</definedName>
    <definedName name="n5" localSheetId="5">'PART3'!#REF!</definedName>
    <definedName name="n5" localSheetId="6">'PART4'!$C$24</definedName>
    <definedName name="n5" localSheetId="7">'Part5'!$C$23</definedName>
    <definedName name="n5">'PART2'!$C$33</definedName>
    <definedName name="n6" localSheetId="0">#REF!</definedName>
    <definedName name="n6" localSheetId="5">'PART3'!#REF!</definedName>
    <definedName name="n6" localSheetId="6">'PART4'!$C$30</definedName>
    <definedName name="n6" localSheetId="7">'Part5'!#REF!</definedName>
    <definedName name="n6">'PART2'!$C$38</definedName>
    <definedName name="n8" localSheetId="0">#REF!</definedName>
    <definedName name="n8" localSheetId="5">'PART3'!#REF!</definedName>
    <definedName name="n8" localSheetId="6">'PART4'!$C$35</definedName>
    <definedName name="n8" localSheetId="7">'Part5'!$C$38</definedName>
    <definedName name="n8">'PART2'!#REF!</definedName>
    <definedName name="NewAll" localSheetId="2">'GRADRESP'!$B$39</definedName>
    <definedName name="NewAll">#REF!</definedName>
    <definedName name="NewRes" localSheetId="2">'GRADRESP'!$F$39</definedName>
    <definedName name="NewRes">#REF!</definedName>
    <definedName name="nn2" localSheetId="0">#REF!</definedName>
    <definedName name="nn2" localSheetId="2">#REF!</definedName>
    <definedName name="nn2" localSheetId="1">#REF!</definedName>
    <definedName name="nn2">'PART1'!$C$14</definedName>
    <definedName name="nn4" localSheetId="0">#REF!</definedName>
    <definedName name="nn4" localSheetId="2">#REF!</definedName>
    <definedName name="nn4" localSheetId="1">#REF!</definedName>
    <definedName name="nn4">'PART1'!#REF!</definedName>
    <definedName name="nn5" localSheetId="0">#REF!</definedName>
    <definedName name="nn5" localSheetId="2">#REF!</definedName>
    <definedName name="nn5" localSheetId="1">#REF!</definedName>
    <definedName name="nn5">'PART1'!$C$45</definedName>
    <definedName name="nn6" localSheetId="0">#REF!</definedName>
    <definedName name="nn6" localSheetId="2">#REF!</definedName>
    <definedName name="nn6" localSheetId="1">#REF!</definedName>
    <definedName name="nn6">'PART1'!$C$59</definedName>
    <definedName name="nn8" localSheetId="0">#REF!</definedName>
    <definedName name="nn8" localSheetId="2">#REF!</definedName>
    <definedName name="nn8" localSheetId="1">#REF!</definedName>
    <definedName name="nn8">'PART1'!#REF!</definedName>
    <definedName name="no" localSheetId="0">#REF!</definedName>
    <definedName name="no" localSheetId="2">#REF!</definedName>
    <definedName name="no" localSheetId="4">'PART2'!$B$14</definedName>
    <definedName name="no" localSheetId="5">'PART3'!$B$16</definedName>
    <definedName name="no" localSheetId="6">'PART4'!$B$13</definedName>
    <definedName name="no" localSheetId="7">'Part5'!$B$14</definedName>
    <definedName name="no" localSheetId="1">#REF!</definedName>
    <definedName name="no">'PART1'!$B$14</definedName>
    <definedName name="page1" localSheetId="0">#REF!</definedName>
    <definedName name="page1" localSheetId="2">'GRADRESP'!$A$1:$G$45</definedName>
    <definedName name="page1" localSheetId="3">'PART1'!$A$1:$E$158</definedName>
    <definedName name="page1" localSheetId="5">'PART3'!$A$1:$E$26</definedName>
    <definedName name="page1" localSheetId="6">'PART4'!$A$1:$E$74</definedName>
    <definedName name="page1" localSheetId="7">'Part5'!$A$1:$E$40</definedName>
    <definedName name="page1" localSheetId="8">'PART6'!$A$1:$E$201</definedName>
    <definedName name="page1" localSheetId="1">'Tie Out'!$A$2:$G$70</definedName>
    <definedName name="page1">'PART2'!$A$1:$E$63</definedName>
    <definedName name="page1a" localSheetId="0">#REF!</definedName>
    <definedName name="page1a">'Part5'!$M$1:$Q$40</definedName>
    <definedName name="page2" localSheetId="0">#REF!</definedName>
    <definedName name="page2" localSheetId="2">'GRADRESP'!$A$46:$G$90</definedName>
    <definedName name="page2" localSheetId="3">'PART1'!$A$185:$H$364</definedName>
    <definedName name="page2" localSheetId="5">'PART3'!$A$27:$H$57</definedName>
    <definedName name="page2" localSheetId="6">'PART4'!$A$75:$H$161</definedName>
    <definedName name="page2" localSheetId="7">'Part5'!$A$49:$H$86</definedName>
    <definedName name="page2" localSheetId="8">'PART6'!$A$202:$H$406</definedName>
    <definedName name="page2" localSheetId="1">'Tie Out'!$A$71:$G$132</definedName>
    <definedName name="page2">'PART2'!$A$64:$H$92</definedName>
    <definedName name="page3" localSheetId="0">#REF!</definedName>
    <definedName name="page3" localSheetId="2">#REF!</definedName>
    <definedName name="page3" localSheetId="4">'PART2'!$A$94:$K$132</definedName>
    <definedName name="page3" localSheetId="5">'PART3'!$A$41:$K$95</definedName>
    <definedName name="page3" localSheetId="6">'PART4'!$A$146:$K$244</definedName>
    <definedName name="page3" localSheetId="7">'Part5'!$A$101:$K$136</definedName>
    <definedName name="page3" localSheetId="8">'PART6'!$A$407:$K$616</definedName>
    <definedName name="page3" localSheetId="1">#REF!</definedName>
    <definedName name="page3">'PART1'!$A$368:$K$517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'GRADRESP'!$A$1:$I$72</definedName>
    <definedName name="_xlnm.Print_Area" localSheetId="3">'PART1'!$A$1:$K$550</definedName>
    <definedName name="_xlnm.Print_Area" localSheetId="4">'PART2'!$A$1:$K$132</definedName>
    <definedName name="_xlnm.Print_Area" localSheetId="5">'PART3'!$A$1:$K$82</definedName>
    <definedName name="_xlnm.Print_Area" localSheetId="6">'PART4'!$A$1:$K$244</definedName>
    <definedName name="_xlnm.Print_Area" localSheetId="7">'Part5'!$A$1:$K$136</definedName>
    <definedName name="_xlnm.Print_Area" localSheetId="8">'PART6'!$A$1:$K$616</definedName>
    <definedName name="_xlnm.Print_Area" localSheetId="1">'Tie Out'!$A$1:$D$34</definedName>
    <definedName name="print1" localSheetId="0">#REF!</definedName>
    <definedName name="print1" localSheetId="2">#REF!</definedName>
    <definedName name="print1" localSheetId="1">#REF!</definedName>
    <definedName name="print1">'PART1'!$A$8:$E$158</definedName>
    <definedName name="q10mo" localSheetId="0">#REF!</definedName>
    <definedName name="q10mo">'PART1'!$I$548</definedName>
    <definedName name="q10n" localSheetId="0">#REF!</definedName>
    <definedName name="q10n" localSheetId="4">'PART2'!$C$14</definedName>
    <definedName name="q10n" localSheetId="5">'PART3'!$C$16</definedName>
    <definedName name="q10n" localSheetId="7">'Part5'!$C$14</definedName>
    <definedName name="q10n">'PART1'!$C$180</definedName>
    <definedName name="q10nb" localSheetId="0">#REF!</definedName>
    <definedName name="q10nb" localSheetId="4">'PART2'!$F$100</definedName>
    <definedName name="q10nb" localSheetId="5">'PART3'!$F$70</definedName>
    <definedName name="q10nb" localSheetId="7">'Part5'!$F$108</definedName>
    <definedName name="q10nb">'PART1'!$F$548</definedName>
    <definedName name="q10nf" localSheetId="0">#REF!</definedName>
    <definedName name="q10nf" localSheetId="4">'PART2'!$F$57</definedName>
    <definedName name="q10nf" localSheetId="5">'PART3'!$F$39</definedName>
    <definedName name="q10nf" localSheetId="7">'Part5'!$F$60</definedName>
    <definedName name="q10nf">'PART1'!$F$364</definedName>
    <definedName name="q10nm" localSheetId="0">#REF!</definedName>
    <definedName name="q10nm" localSheetId="4">'PART2'!$C$57</definedName>
    <definedName name="q10nm" localSheetId="5">'PART3'!$C$39</definedName>
    <definedName name="q10nm" localSheetId="7">'Part5'!$C$60</definedName>
    <definedName name="q10nm">'PART1'!$C$364</definedName>
    <definedName name="q10no" localSheetId="0">#REF!</definedName>
    <definedName name="q10no" localSheetId="4">'PART2'!$I$100</definedName>
    <definedName name="q10no" localSheetId="5">'PART3'!$I$70</definedName>
    <definedName name="q10no" localSheetId="7">'Part5'!$I$108</definedName>
    <definedName name="q10no">'PART1'!$I$548</definedName>
    <definedName name="q10nw" localSheetId="0">#REF!</definedName>
    <definedName name="q10nw" localSheetId="4">'PART2'!$C$100</definedName>
    <definedName name="q10nw" localSheetId="5">'PART3'!$C$70</definedName>
    <definedName name="q10nw" localSheetId="7">'Part5'!$C$108</definedName>
    <definedName name="q10nw">'PART1'!$C$548</definedName>
    <definedName name="q11a" localSheetId="0">#REF!</definedName>
    <definedName name="q11a">'PART2'!$C$19</definedName>
    <definedName name="q11an" localSheetId="0">#REF!</definedName>
    <definedName name="q11an">'PART2'!$C$19</definedName>
    <definedName name="q11anb" localSheetId="0">#REF!</definedName>
    <definedName name="q11anb">'PART2'!$F$105</definedName>
    <definedName name="q11anf" localSheetId="0">#REF!</definedName>
    <definedName name="q11anf">'PART2'!$F$62</definedName>
    <definedName name="q11anm" localSheetId="0">#REF!</definedName>
    <definedName name="q11anm">'PART2'!$C$62</definedName>
    <definedName name="q11ano" localSheetId="0">#REF!</definedName>
    <definedName name="q11ano">'PART2'!$I$105</definedName>
    <definedName name="q11anw" localSheetId="0">#REF!</definedName>
    <definedName name="q11anw">'PART2'!$C$105</definedName>
    <definedName name="q11n" localSheetId="0">#REF!</definedName>
    <definedName name="q11n" localSheetId="2">#REF!</definedName>
    <definedName name="q11n" localSheetId="4">'PART2'!$C$33</definedName>
    <definedName name="q11n" localSheetId="1">#REF!</definedName>
    <definedName name="q11n">'PART1'!$C$27</definedName>
    <definedName name="q11nb" localSheetId="0">#REF!</definedName>
    <definedName name="q11nb">'PART2'!$F$119</definedName>
    <definedName name="q11nf" localSheetId="0">#REF!</definedName>
    <definedName name="q11nf">'PART2'!$F$76</definedName>
    <definedName name="q11nm" localSheetId="0">#REF!</definedName>
    <definedName name="q11nm">'PART2'!$C$76</definedName>
    <definedName name="q11no" localSheetId="0">#REF!</definedName>
    <definedName name="q11no">'PART2'!$I$119</definedName>
    <definedName name="q11nw" localSheetId="0">#REF!</definedName>
    <definedName name="q11nw">'PART2'!$C$119</definedName>
    <definedName name="q12n" localSheetId="0">#REF!</definedName>
    <definedName name="q12n">'PART2'!$C$42</definedName>
    <definedName name="q12nb" localSheetId="0">#REF!</definedName>
    <definedName name="q12nb">'PART2'!$F$128</definedName>
    <definedName name="q12nf" localSheetId="0">#REF!</definedName>
    <definedName name="q12nf">'PART2'!$F$85</definedName>
    <definedName name="q12nm" localSheetId="0">#REF!</definedName>
    <definedName name="q12nm">'PART2'!$C$85</definedName>
    <definedName name="q12no" localSheetId="0">#REF!</definedName>
    <definedName name="q12no">'PART2'!$I$128</definedName>
    <definedName name="q12nw" localSheetId="0">#REF!</definedName>
    <definedName name="q12nw">'PART2'!$C$128</definedName>
    <definedName name="q13n" localSheetId="0">#REF!</definedName>
    <definedName name="q13n">'PART3'!$C$17</definedName>
    <definedName name="q13nb" localSheetId="0">#REF!</definedName>
    <definedName name="q13nb">'PART3'!$F$71</definedName>
    <definedName name="q13nf" localSheetId="0">#REF!</definedName>
    <definedName name="q13nf">'PART3'!$F$40</definedName>
    <definedName name="q13nm" localSheetId="0">#REF!</definedName>
    <definedName name="q13nm">'PART3'!$C$40</definedName>
    <definedName name="q13no" localSheetId="0">#REF!</definedName>
    <definedName name="q13no">'PART3'!$I$71</definedName>
    <definedName name="q13nw" localSheetId="0">#REF!</definedName>
    <definedName name="q13nw">'PART3'!$C$71</definedName>
    <definedName name="q14n" localSheetId="0">#REF!</definedName>
    <definedName name="q14n">'PART3'!$C$26</definedName>
    <definedName name="q14nb" localSheetId="0">#REF!</definedName>
    <definedName name="q14nb">'PART3'!$F$80</definedName>
    <definedName name="q14nf" localSheetId="0">#REF!</definedName>
    <definedName name="q14nf">'PART3'!$F$57</definedName>
    <definedName name="q14nm" localSheetId="0">#REF!</definedName>
    <definedName name="q14nm">'PART3'!$C$57</definedName>
    <definedName name="q14no" localSheetId="0">#REF!</definedName>
    <definedName name="q14no">'PART3'!$I$80</definedName>
    <definedName name="q14nw" localSheetId="0">#REF!</definedName>
    <definedName name="q14nw">'PART3'!$C$80</definedName>
    <definedName name="q15an" localSheetId="0">#REF!</definedName>
    <definedName name="q15an">'PART6'!$C$16</definedName>
    <definedName name="q15anb" localSheetId="0">#REF!</definedName>
    <definedName name="q15anb">'PART6'!$F$419</definedName>
    <definedName name="q15anf" localSheetId="0">#REF!</definedName>
    <definedName name="q15anf">'PART6'!$F$214</definedName>
    <definedName name="q15anm" localSheetId="0">#REF!</definedName>
    <definedName name="q15anm">'PART6'!$C$214</definedName>
    <definedName name="q15ano" localSheetId="0">#REF!</definedName>
    <definedName name="q15ano">'PART6'!$I$419</definedName>
    <definedName name="q15anw" localSheetId="0">#REF!</definedName>
    <definedName name="q15anw">'PART6'!$C$419</definedName>
    <definedName name="q15bn" localSheetId="0">#REF!</definedName>
    <definedName name="q15bn">'PART6'!$C$23</definedName>
    <definedName name="q15bnb" localSheetId="0">#REF!</definedName>
    <definedName name="q15bnb">'PART6'!$F$426</definedName>
    <definedName name="q15bnf" localSheetId="0">#REF!</definedName>
    <definedName name="q15bnf">'PART6'!$F$221</definedName>
    <definedName name="q15bnm" localSheetId="0">#REF!</definedName>
    <definedName name="q15bnm">'PART6'!$C$221</definedName>
    <definedName name="q15bno" localSheetId="0">#REF!</definedName>
    <definedName name="q15bno">'PART6'!$I$426</definedName>
    <definedName name="q15bnw" localSheetId="0">#REF!</definedName>
    <definedName name="q15bnw">'PART6'!$C$426</definedName>
    <definedName name="q15cn" localSheetId="0">#REF!</definedName>
    <definedName name="q15cn">'PART6'!$C$31</definedName>
    <definedName name="q15cnb" localSheetId="0">#REF!</definedName>
    <definedName name="q15cnb">'PART6'!$F$434</definedName>
    <definedName name="q15cnf" localSheetId="0">#REF!</definedName>
    <definedName name="q15cnf">'PART6'!$F$229</definedName>
    <definedName name="q15cnm" localSheetId="0">#REF!</definedName>
    <definedName name="q15cnm">'PART6'!$C$229</definedName>
    <definedName name="q15cno" localSheetId="0">#REF!</definedName>
    <definedName name="q15cno">'PART6'!$I$434</definedName>
    <definedName name="q15cnw" localSheetId="0">#REF!</definedName>
    <definedName name="q15cnw">'PART6'!$C$434</definedName>
    <definedName name="q15dn" localSheetId="0">#REF!</definedName>
    <definedName name="q15dn">'PART6'!$C$38</definedName>
    <definedName name="q15dnb" localSheetId="0">#REF!</definedName>
    <definedName name="q15dnb">'PART6'!$F$450</definedName>
    <definedName name="q15dnf" localSheetId="0">#REF!</definedName>
    <definedName name="q15dnf">'PART6'!$F$236</definedName>
    <definedName name="q15dnm" localSheetId="0">#REF!</definedName>
    <definedName name="q15dnm">'PART6'!$C$236</definedName>
    <definedName name="q15dno" localSheetId="0">#REF!</definedName>
    <definedName name="q15dno">'PART6'!$I$450</definedName>
    <definedName name="q15dnw" localSheetId="0">#REF!</definedName>
    <definedName name="q15dnw">'PART6'!$C$450</definedName>
    <definedName name="q15en" localSheetId="0">#REF!</definedName>
    <definedName name="q15en">'PART6'!$C$45</definedName>
    <definedName name="q15enb" localSheetId="0">#REF!</definedName>
    <definedName name="q15enb">'PART6'!$F$457</definedName>
    <definedName name="q15enf" localSheetId="0">#REF!</definedName>
    <definedName name="q15enf">'PART6'!$F$243</definedName>
    <definedName name="q15enm" localSheetId="0">#REF!</definedName>
    <definedName name="q15enm">'PART6'!$C$243</definedName>
    <definedName name="q15eno" localSheetId="0">#REF!</definedName>
    <definedName name="q15eno">'PART6'!$I$457</definedName>
    <definedName name="q15enw" localSheetId="0">#REF!</definedName>
    <definedName name="q15enw">'PART6'!$C$457</definedName>
    <definedName name="q15fn" localSheetId="0">#REF!</definedName>
    <definedName name="q15fn">'PART6'!$C$60</definedName>
    <definedName name="q15fnb" localSheetId="0">#REF!</definedName>
    <definedName name="q15fnb">'PART6'!$F$464</definedName>
    <definedName name="q15fnf" localSheetId="0">#REF!</definedName>
    <definedName name="q15fnf">'PART6'!$F$259</definedName>
    <definedName name="q15fnm" localSheetId="0">#REF!</definedName>
    <definedName name="q15fnm">'PART6'!$C$259</definedName>
    <definedName name="q15fno" localSheetId="0">#REF!</definedName>
    <definedName name="q15fno">'PART6'!$I$464</definedName>
    <definedName name="q15fnw" localSheetId="0">#REF!</definedName>
    <definedName name="q15fnw">'PART6'!$C$464</definedName>
    <definedName name="q15gn" localSheetId="0">#REF!</definedName>
    <definedName name="q15gn">'PART6'!$C$67</definedName>
    <definedName name="q15gnb" localSheetId="0">#REF!</definedName>
    <definedName name="q15gnb">'PART6'!$F$471</definedName>
    <definedName name="q15gnf" localSheetId="0">#REF!</definedName>
    <definedName name="q15gnf">'PART6'!$F$266</definedName>
    <definedName name="q15gnm" localSheetId="0">#REF!</definedName>
    <definedName name="q15gnm">'PART6'!$C$266</definedName>
    <definedName name="q15gno" localSheetId="0">#REF!</definedName>
    <definedName name="q15gno">'PART6'!$I$471</definedName>
    <definedName name="q15gnw" localSheetId="0">#REF!</definedName>
    <definedName name="q15gnw">'PART6'!$C$471</definedName>
    <definedName name="q15hn" localSheetId="0">#REF!</definedName>
    <definedName name="q15hn">'PART6'!$C$74</definedName>
    <definedName name="q15hnb" localSheetId="0">#REF!</definedName>
    <definedName name="q15hnb">'PART6'!$F$478</definedName>
    <definedName name="q15hnf" localSheetId="0">#REF!</definedName>
    <definedName name="q15hnf">'PART6'!$F$273</definedName>
    <definedName name="q15hnm" localSheetId="0">#REF!</definedName>
    <definedName name="q15hnm">'PART6'!$C$273</definedName>
    <definedName name="q15hno" localSheetId="0">#REF!</definedName>
    <definedName name="q15hno">'PART6'!$I$478</definedName>
    <definedName name="q15hnw" localSheetId="0">#REF!</definedName>
    <definedName name="q15hnw">'PART6'!$C$478</definedName>
    <definedName name="q15in" localSheetId="0">#REF!</definedName>
    <definedName name="q15in">'PART6'!$C$81</definedName>
    <definedName name="q15inb" localSheetId="0">#REF!</definedName>
    <definedName name="q15inb">'PART6'!$F$494</definedName>
    <definedName name="q15inf" localSheetId="0">#REF!</definedName>
    <definedName name="q15inf">'PART6'!$F$280</definedName>
    <definedName name="q15inm" localSheetId="0">#REF!</definedName>
    <definedName name="q15inm">'PART6'!$C$280</definedName>
    <definedName name="q15ino" localSheetId="0">#REF!</definedName>
    <definedName name="q15ino">'PART6'!$I$494</definedName>
    <definedName name="q15inw" localSheetId="0">#REF!</definedName>
    <definedName name="q15inw">'PART6'!$C$494</definedName>
    <definedName name="q15jn" localSheetId="0">#REF!</definedName>
    <definedName name="q15jn">'PART6'!$C$88</definedName>
    <definedName name="q15jnb" localSheetId="0">#REF!</definedName>
    <definedName name="q15jnb">'PART6'!$F$501</definedName>
    <definedName name="q15jnf" localSheetId="0">#REF!</definedName>
    <definedName name="q15jnf">'PART6'!$F$287</definedName>
    <definedName name="q15jnm" localSheetId="0">#REF!</definedName>
    <definedName name="q15jnm">'PART6'!$C$287</definedName>
    <definedName name="q15jno" localSheetId="0">#REF!</definedName>
    <definedName name="q15jno">'PART6'!$I$501</definedName>
    <definedName name="q15jnw" localSheetId="0">#REF!</definedName>
    <definedName name="q15jnw">'PART6'!$C$501</definedName>
    <definedName name="q15kn" localSheetId="0">#REF!</definedName>
    <definedName name="q15kn">'PART6'!$C$95</definedName>
    <definedName name="q15knb" localSheetId="0">#REF!</definedName>
    <definedName name="q15knb">'PART6'!$F$508</definedName>
    <definedName name="q15knf" localSheetId="0">#REF!</definedName>
    <definedName name="q15knf">'PART6'!$F$303</definedName>
    <definedName name="q15knm" localSheetId="0">#REF!</definedName>
    <definedName name="q15knm">'PART6'!$C$303</definedName>
    <definedName name="q15kno" localSheetId="0">#REF!</definedName>
    <definedName name="q15kno">'PART6'!$I$508</definedName>
    <definedName name="q15knw" localSheetId="0">#REF!</definedName>
    <definedName name="q15knw">'PART6'!$C$508</definedName>
    <definedName name="q15ln" localSheetId="0">#REF!</definedName>
    <definedName name="q15ln">'PART6'!$C$110</definedName>
    <definedName name="q15lnb" localSheetId="0">#REF!</definedName>
    <definedName name="q15lnb">'PART6'!$F$515</definedName>
    <definedName name="q15lnf" localSheetId="0">#REF!</definedName>
    <definedName name="q15lnf">'PART6'!$F$310</definedName>
    <definedName name="q15lnm" localSheetId="0">#REF!</definedName>
    <definedName name="q15lnm">'PART6'!$C$310</definedName>
    <definedName name="q15lno" localSheetId="0">#REF!</definedName>
    <definedName name="q15lno">'PART6'!$I$515</definedName>
    <definedName name="q15lnw" localSheetId="0">#REF!</definedName>
    <definedName name="q15lnw">'PART6'!$C$515</definedName>
    <definedName name="q15n" localSheetId="0">#REF!</definedName>
    <definedName name="q15n">'PART4'!$C$15</definedName>
    <definedName name="q15nb" localSheetId="0">#REF!</definedName>
    <definedName name="q15nb">'PART4'!$F$174</definedName>
    <definedName name="q15nf" localSheetId="0">#REF!</definedName>
    <definedName name="q15nf">'PART4'!$F$87</definedName>
    <definedName name="q15nm" localSheetId="0">#REF!</definedName>
    <definedName name="q15nm">'PART4'!$C$87</definedName>
    <definedName name="q15no" localSheetId="0">#REF!</definedName>
    <definedName name="q15no">'PART4'!$I$174</definedName>
    <definedName name="q15nw" localSheetId="0">#REF!</definedName>
    <definedName name="q15nw">'PART4'!$C$174</definedName>
    <definedName name="q16n" localSheetId="0">#REF!</definedName>
    <definedName name="q16n" localSheetId="8">'PART6'!$C$117</definedName>
    <definedName name="q16n">'PART4'!$C$23</definedName>
    <definedName name="q16nb" localSheetId="0">#REF!</definedName>
    <definedName name="q16nb" localSheetId="8">'PART6'!$F$522</definedName>
    <definedName name="q16nb">'PART4'!$F$182</definedName>
    <definedName name="q16nf" localSheetId="0">#REF!</definedName>
    <definedName name="q16nf" localSheetId="8">'PART6'!$F$317</definedName>
    <definedName name="q16nf">'PART4'!$F$95</definedName>
    <definedName name="q16nm" localSheetId="0">#REF!</definedName>
    <definedName name="q16nm" localSheetId="8">'PART6'!$C$317</definedName>
    <definedName name="q16nm">'PART4'!$C$95</definedName>
    <definedName name="q16no" localSheetId="0">#REF!</definedName>
    <definedName name="q16no" localSheetId="8">'PART6'!$I$522</definedName>
    <definedName name="q16no">'PART4'!$I$182</definedName>
    <definedName name="q16nw" localSheetId="0">#REF!</definedName>
    <definedName name="q16nw" localSheetId="8">'PART6'!$C$522</definedName>
    <definedName name="q16nw">'PART4'!$C$182</definedName>
    <definedName name="q17an" localSheetId="0">#REF!</definedName>
    <definedName name="q17an">'PART6'!$C$124</definedName>
    <definedName name="q17anb" localSheetId="0">#REF!</definedName>
    <definedName name="q17anb">'PART6'!$F$538</definedName>
    <definedName name="q17anf" localSheetId="0">#REF!</definedName>
    <definedName name="q17anf">'PART6'!$F$324</definedName>
    <definedName name="q17anm" localSheetId="0">#REF!</definedName>
    <definedName name="q17anm">'PART6'!$C$324</definedName>
    <definedName name="q17ano" localSheetId="0">#REF!</definedName>
    <definedName name="q17ano">'PART6'!$I$538</definedName>
    <definedName name="q17anw" localSheetId="0">#REF!</definedName>
    <definedName name="q17anw">'PART6'!$C$538</definedName>
    <definedName name="q17bn" localSheetId="0">#REF!</definedName>
    <definedName name="q17bn">'PART6'!$C$130</definedName>
    <definedName name="q17bnb" localSheetId="0">#REF!</definedName>
    <definedName name="q17bnb">'PART6'!$F$544</definedName>
    <definedName name="q17bnf" localSheetId="0">#REF!</definedName>
    <definedName name="q17bnf">'PART6'!$F$330</definedName>
    <definedName name="q17bnm" localSheetId="0">#REF!</definedName>
    <definedName name="q17bnm">'PART6'!$C$330</definedName>
    <definedName name="q17bno" localSheetId="0">#REF!</definedName>
    <definedName name="q17bno">'PART6'!$I$544</definedName>
    <definedName name="q17bnw" localSheetId="0">#REF!</definedName>
    <definedName name="q17bnw">'PART6'!$C$544</definedName>
    <definedName name="q17cn" localSheetId="0">#REF!</definedName>
    <definedName name="q17cn">'PART6'!$C$136</definedName>
    <definedName name="q17cnb" localSheetId="0">#REF!</definedName>
    <definedName name="q17cnb">'PART6'!$F$550</definedName>
    <definedName name="q17cnf" localSheetId="0">#REF!</definedName>
    <definedName name="q17cnf">'PART6'!$F$336</definedName>
    <definedName name="q17cnm" localSheetId="0">#REF!</definedName>
    <definedName name="q17cnm">'PART6'!$C$336</definedName>
    <definedName name="q17cno" localSheetId="0">#REF!</definedName>
    <definedName name="q17cno">'PART6'!$I$550</definedName>
    <definedName name="q17cnw" localSheetId="0">#REF!</definedName>
    <definedName name="q17cnw">'PART6'!$C$550</definedName>
    <definedName name="q17n" localSheetId="0">#REF!</definedName>
    <definedName name="q17n">'PART4'!$C$31</definedName>
    <definedName name="q17nb" localSheetId="0">#REF!</definedName>
    <definedName name="q17nb">'PART4'!$F$190</definedName>
    <definedName name="q17nf" localSheetId="0">#REF!</definedName>
    <definedName name="q17nf">'PART4'!$F$114</definedName>
    <definedName name="q17nm" localSheetId="0">#REF!</definedName>
    <definedName name="q17nm">'PART4'!$C$114</definedName>
    <definedName name="q17no" localSheetId="0">#REF!</definedName>
    <definedName name="q17no">'PART4'!$I$190</definedName>
    <definedName name="q17nw" localSheetId="0">#REF!</definedName>
    <definedName name="q17nw">'PART4'!$C$190</definedName>
    <definedName name="q18n" localSheetId="0">#REF!</definedName>
    <definedName name="q18n" localSheetId="8">'PART6'!$C$144</definedName>
    <definedName name="q18n">'PART4'!$C$39</definedName>
    <definedName name="q18nb" localSheetId="0">#REF!</definedName>
    <definedName name="q18nb" localSheetId="8">'PART6'!$F$558</definedName>
    <definedName name="q18nb">'PART4'!$F$211</definedName>
    <definedName name="q18nf" localSheetId="0">#REF!</definedName>
    <definedName name="q18nf" localSheetId="8">'PART6'!$F$352</definedName>
    <definedName name="q18nf">'PART4'!$F$122</definedName>
    <definedName name="q18nm" localSheetId="0">#REF!</definedName>
    <definedName name="q18nm" localSheetId="8">'PART6'!$C$352</definedName>
    <definedName name="q18nm">'PART4'!$C$122</definedName>
    <definedName name="q18no" localSheetId="0">#REF!</definedName>
    <definedName name="q18no" localSheetId="8">'PART6'!$I$558</definedName>
    <definedName name="q18no">'PART4'!$I$211</definedName>
    <definedName name="q18nw" localSheetId="0">#REF!</definedName>
    <definedName name="q18nw" localSheetId="8">'PART6'!$C$558</definedName>
    <definedName name="q18nw">'PART4'!$C$211</definedName>
    <definedName name="q19an" localSheetId="0">#REF!</definedName>
    <definedName name="q19an">'PART6'!$C$157</definedName>
    <definedName name="q19anb" localSheetId="0">#REF!</definedName>
    <definedName name="q19anb">'PART6'!$F$564</definedName>
    <definedName name="q19anf" localSheetId="0">#REF!</definedName>
    <definedName name="q19anf">'PART6'!$F$358</definedName>
    <definedName name="q19anm" localSheetId="0">#REF!</definedName>
    <definedName name="q19anm">'PART6'!$C$358</definedName>
    <definedName name="q19ano" localSheetId="0">#REF!</definedName>
    <definedName name="q19ano">'PART6'!$I$564</definedName>
    <definedName name="q19anw" localSheetId="0">#REF!</definedName>
    <definedName name="q19anw">'PART6'!$C$564</definedName>
    <definedName name="q19bn" localSheetId="0">#REF!</definedName>
    <definedName name="q19bn">'PART6'!$C$162</definedName>
    <definedName name="q19bnb" localSheetId="0">#REF!</definedName>
    <definedName name="q19bnb">'PART6'!$F$569</definedName>
    <definedName name="q19bnf" localSheetId="0">#REF!</definedName>
    <definedName name="q19bnf">'PART6'!$F$363</definedName>
    <definedName name="q19bnm" localSheetId="0">#REF!</definedName>
    <definedName name="q19bnm">'PART6'!$C$363</definedName>
    <definedName name="q19bno" localSheetId="0">#REF!</definedName>
    <definedName name="q19bno">'PART6'!$I$569</definedName>
    <definedName name="q19bnw" localSheetId="0">#REF!</definedName>
    <definedName name="q19bnw">'PART6'!$C$569</definedName>
    <definedName name="q19cn" localSheetId="0">#REF!</definedName>
    <definedName name="q19cn">'PART6'!$C$167</definedName>
    <definedName name="q19cnb" localSheetId="0">#REF!</definedName>
    <definedName name="q19cnb">'PART6'!$F$584</definedName>
    <definedName name="q19cnf" localSheetId="0">#REF!</definedName>
    <definedName name="q19cnf">'PART6'!$F$368</definedName>
    <definedName name="q19cnm" localSheetId="0">#REF!</definedName>
    <definedName name="q19cnm">'PART6'!$C$368</definedName>
    <definedName name="q19cno" localSheetId="0">#REF!</definedName>
    <definedName name="q19cno">'PART6'!$I$584</definedName>
    <definedName name="q19cnw" localSheetId="0">#REF!</definedName>
    <definedName name="q19cnw">'PART6'!$C$584</definedName>
    <definedName name="q19dn" localSheetId="0">#REF!</definedName>
    <definedName name="q19dn">'PART6'!$C$172</definedName>
    <definedName name="q19dnb" localSheetId="0">#REF!</definedName>
    <definedName name="q19dnb">'PART6'!$F$589</definedName>
    <definedName name="q19dnf" localSheetId="0">#REF!</definedName>
    <definedName name="q19dnf">'PART6'!$F$373</definedName>
    <definedName name="q19dnm" localSheetId="0">#REF!</definedName>
    <definedName name="q19dnm">'PART6'!$C$373</definedName>
    <definedName name="q19dno" localSheetId="0">#REF!</definedName>
    <definedName name="q19dno">'PART6'!$I$589</definedName>
    <definedName name="q19dnw" localSheetId="0">#REF!</definedName>
    <definedName name="q19dnw">'PART6'!$C$589</definedName>
    <definedName name="q19en" localSheetId="0">#REF!</definedName>
    <definedName name="q19en">'PART6'!$C$177</definedName>
    <definedName name="q19enb" localSheetId="0">#REF!</definedName>
    <definedName name="q19enb">'PART6'!$F$594</definedName>
    <definedName name="q19enf" localSheetId="0">#REF!</definedName>
    <definedName name="q19enf">'PART6'!$F$378</definedName>
    <definedName name="q19enm" localSheetId="0">#REF!</definedName>
    <definedName name="q19enm">'PART6'!$C$378</definedName>
    <definedName name="q19eno" localSheetId="0">#REF!</definedName>
    <definedName name="q19eno">'PART6'!$I$594</definedName>
    <definedName name="q19enw" localSheetId="0">#REF!</definedName>
    <definedName name="q19enw">'PART6'!$C$594</definedName>
    <definedName name="q19fn" localSheetId="0">#REF!</definedName>
    <definedName name="q19fn">'PART6'!$C$182</definedName>
    <definedName name="q19fnb" localSheetId="0">#REF!</definedName>
    <definedName name="q19fnb">'PART6'!$F$599</definedName>
    <definedName name="q19fnf" localSheetId="0">#REF!</definedName>
    <definedName name="q19fnf">'PART6'!$F$383</definedName>
    <definedName name="q19fnm" localSheetId="0">#REF!</definedName>
    <definedName name="q19fnm">'PART6'!$C$383</definedName>
    <definedName name="q19fno" localSheetId="0">#REF!</definedName>
    <definedName name="q19fno">'PART6'!$I$599</definedName>
    <definedName name="q19fnw" localSheetId="0">#REF!</definedName>
    <definedName name="q19fnw">'PART6'!$C$599</definedName>
    <definedName name="q19gn" localSheetId="0">#REF!</definedName>
    <definedName name="q19gn">'PART6'!$C$187</definedName>
    <definedName name="q19gnb" localSheetId="0">#REF!</definedName>
    <definedName name="q19gnb">'PART6'!$F$604</definedName>
    <definedName name="q19gnf" localSheetId="0">#REF!</definedName>
    <definedName name="q19gnf">'PART6'!$F$396</definedName>
    <definedName name="q19gnm" localSheetId="0">#REF!</definedName>
    <definedName name="q19gnm">'PART6'!$C$396</definedName>
    <definedName name="q19gno" localSheetId="0">#REF!</definedName>
    <definedName name="q19gno">'PART6'!$I$604</definedName>
    <definedName name="q19gnw" localSheetId="0">#REF!</definedName>
    <definedName name="q19gnw">'PART6'!$C$604</definedName>
    <definedName name="q19hn" localSheetId="0">#REF!</definedName>
    <definedName name="q19hn">'PART6'!$C$197</definedName>
    <definedName name="q19hnb" localSheetId="0">#REF!</definedName>
    <definedName name="q19hnb">'PART6'!$F$614</definedName>
    <definedName name="q19hnf" localSheetId="0">#REF!</definedName>
    <definedName name="q19hnf">'PART6'!$F$406</definedName>
    <definedName name="q19hnm" localSheetId="0">#REF!</definedName>
    <definedName name="q19hnm">'PART6'!$C$406</definedName>
    <definedName name="q19hno" localSheetId="0">#REF!</definedName>
    <definedName name="q19hno">'PART6'!$I$614</definedName>
    <definedName name="q19hnw" localSheetId="0">#REF!</definedName>
    <definedName name="q19hnw">'PART6'!$C$614</definedName>
    <definedName name="q19n" localSheetId="0">#REF!</definedName>
    <definedName name="q19n">'PART4'!$C$47</definedName>
    <definedName name="q19nb" localSheetId="0">#REF!</definedName>
    <definedName name="q19nb">'PART4'!$F$219</definedName>
    <definedName name="q19nbu">#REF!</definedName>
    <definedName name="q19ned">#REF!</definedName>
    <definedName name="q19nen">#REF!</definedName>
    <definedName name="q19nf" localSheetId="0">#REF!</definedName>
    <definedName name="q19nf">'PART4'!$F$130</definedName>
    <definedName name="q19nfa">#REF!</definedName>
    <definedName name="q19nhu">#REF!</definedName>
    <definedName name="q19nm" localSheetId="0">#REF!</definedName>
    <definedName name="q19nm">'PART4'!$C$130</definedName>
    <definedName name="q19nnu">#REF!</definedName>
    <definedName name="q19no" localSheetId="0">#REF!</definedName>
    <definedName name="q19no">'PART4'!$I$219</definedName>
    <definedName name="q19nsc">#REF!</definedName>
    <definedName name="q19nss">#REF!</definedName>
    <definedName name="q19nuc">#REF!</definedName>
    <definedName name="q19nw" localSheetId="0">#REF!</definedName>
    <definedName name="q19nw">'PART4'!$C$219</definedName>
    <definedName name="q1bf" localSheetId="0">#REF!</definedName>
    <definedName name="q1bf">'PART1'!$F$371</definedName>
    <definedName name="q1bp" localSheetId="0">#REF!</definedName>
    <definedName name="q1bp">'PART1'!$F$372</definedName>
    <definedName name="q1ff" localSheetId="0">#REF!</definedName>
    <definedName name="q1ff">'PART1'!$F$187</definedName>
    <definedName name="q1fp" localSheetId="0">#REF!</definedName>
    <definedName name="q1fp">'PART1'!$F$188</definedName>
    <definedName name="q1mf" localSheetId="0">#REF!</definedName>
    <definedName name="q1mf">'PART1'!$C$187</definedName>
    <definedName name="q1mp" localSheetId="0">#REF!</definedName>
    <definedName name="q1mp">'PART1'!$C$188</definedName>
    <definedName name="q1n" localSheetId="0">#REF!</definedName>
    <definedName name="q1n" localSheetId="2">#REF!</definedName>
    <definedName name="q1n" localSheetId="4">'PART2'!$C$14</definedName>
    <definedName name="q1n" localSheetId="5">'PART3'!$C$16</definedName>
    <definedName name="q1n" localSheetId="6">'PART4'!$C$13</definedName>
    <definedName name="q1n" localSheetId="7">'Part5'!$C$14</definedName>
    <definedName name="q1n" localSheetId="1">#REF!</definedName>
    <definedName name="q1n">'PART1'!$C$14</definedName>
    <definedName name="q1nb" localSheetId="0">#REF!</definedName>
    <definedName name="q1nb" localSheetId="2">#REF!</definedName>
    <definedName name="q1nb" localSheetId="4">'PART2'!#REF!</definedName>
    <definedName name="q1nb" localSheetId="5">'PART3'!$F$70</definedName>
    <definedName name="q1nb" localSheetId="6">'PART4'!$F$172</definedName>
    <definedName name="q1nb" localSheetId="7">'Part5'!$F$108</definedName>
    <definedName name="q1nb" localSheetId="1">#REF!</definedName>
    <definedName name="q1nb">'PART1'!$F$375</definedName>
    <definedName name="q1nf" localSheetId="0">#REF!</definedName>
    <definedName name="q1nf" localSheetId="2">#REF!</definedName>
    <definedName name="q1nf" localSheetId="4">'PART2'!#REF!</definedName>
    <definedName name="q1nf" localSheetId="5">'PART3'!$F$39</definedName>
    <definedName name="q1nf" localSheetId="6">'PART4'!$F$85</definedName>
    <definedName name="q1nf" localSheetId="7">'Part5'!$F$60</definedName>
    <definedName name="q1nf" localSheetId="1">#REF!</definedName>
    <definedName name="q1nf">'PART1'!$F$191</definedName>
    <definedName name="q1nm" localSheetId="0">#REF!</definedName>
    <definedName name="q1nm" localSheetId="2">#REF!</definedName>
    <definedName name="q1nm" localSheetId="4">'PART2'!#REF!</definedName>
    <definedName name="q1nm" localSheetId="5">'PART3'!$C$39</definedName>
    <definedName name="q1nm" localSheetId="6">'PART4'!$C$85</definedName>
    <definedName name="q1nm" localSheetId="7">'Part5'!$C$60</definedName>
    <definedName name="q1nm" localSheetId="1">#REF!</definedName>
    <definedName name="q1nm">'PART1'!$C$191</definedName>
    <definedName name="q1no" localSheetId="0">#REF!</definedName>
    <definedName name="q1no" localSheetId="2">#REF!</definedName>
    <definedName name="q1no" localSheetId="4">'PART2'!#REF!</definedName>
    <definedName name="q1no" localSheetId="5">'PART3'!$I$70</definedName>
    <definedName name="q1no" localSheetId="6">'PART4'!$I$172</definedName>
    <definedName name="q1no" localSheetId="7">'Part5'!$I$108</definedName>
    <definedName name="q1no" localSheetId="1">#REF!</definedName>
    <definedName name="q1no">'PART1'!$I$375</definedName>
    <definedName name="q1nw" localSheetId="0">#REF!</definedName>
    <definedName name="q1nw" localSheetId="2">#REF!</definedName>
    <definedName name="q1nw" localSheetId="4">'PART2'!$C$100</definedName>
    <definedName name="q1nw" localSheetId="5">'PART3'!$C$70</definedName>
    <definedName name="q1nw" localSheetId="6">'PART4'!$C$172</definedName>
    <definedName name="q1nw" localSheetId="7">'Part5'!$C$108</definedName>
    <definedName name="q1nw" localSheetId="1">#REF!</definedName>
    <definedName name="q1nw">'PART1'!$C$375</definedName>
    <definedName name="q1of" localSheetId="0">#REF!</definedName>
    <definedName name="q1of">'PART1'!$I$371</definedName>
    <definedName name="q1op" localSheetId="0">#REF!</definedName>
    <definedName name="q1op">'PART1'!$I$372</definedName>
    <definedName name="q1wf" localSheetId="0">#REF!</definedName>
    <definedName name="q1wf">'PART1'!$C$371</definedName>
    <definedName name="q1wp" localSheetId="0">#REF!</definedName>
    <definedName name="q1wp">'PART1'!$C$372</definedName>
    <definedName name="q20an" localSheetId="0">#REF!</definedName>
    <definedName name="q20an">'PART6'!#REF!</definedName>
    <definedName name="q20bn" localSheetId="0">#REF!</definedName>
    <definedName name="q20bn">'PART6'!#REF!</definedName>
    <definedName name="q20cn" localSheetId="0">#REF!</definedName>
    <definedName name="q20cn">'PART6'!#REF!</definedName>
    <definedName name="q20dn" localSheetId="0">#REF!</definedName>
    <definedName name="q20dn">'PART6'!#REF!</definedName>
    <definedName name="q20en" localSheetId="0">#REF!</definedName>
    <definedName name="q20en">'PART6'!#REF!</definedName>
    <definedName name="q20fn" localSheetId="0">#REF!</definedName>
    <definedName name="q20fn">'PART6'!#REF!</definedName>
    <definedName name="q20gn" localSheetId="0">#REF!</definedName>
    <definedName name="q20gn">'PART6'!#REF!</definedName>
    <definedName name="q20hn" localSheetId="0">#REF!</definedName>
    <definedName name="q20hn">'PART6'!#REF!</definedName>
    <definedName name="q20in" localSheetId="0">#REF!</definedName>
    <definedName name="q20in">'PART6'!#REF!</definedName>
    <definedName name="q20n" localSheetId="0">#REF!</definedName>
    <definedName name="q20n">'PART4'!$C$58</definedName>
    <definedName name="q20nb" localSheetId="0">#REF!</definedName>
    <definedName name="q20nb">'PART4'!$F$226</definedName>
    <definedName name="q20nbu">#REF!</definedName>
    <definedName name="q20ned">#REF!</definedName>
    <definedName name="q20nen">#REF!</definedName>
    <definedName name="q20nf" localSheetId="0">#REF!</definedName>
    <definedName name="q20nf">'PART4'!$F$137</definedName>
    <definedName name="q20nfa">#REF!</definedName>
    <definedName name="q20nhu">#REF!</definedName>
    <definedName name="q20nm" localSheetId="0">#REF!</definedName>
    <definedName name="q20nm">'PART4'!$C$137</definedName>
    <definedName name="q20nnu">#REF!</definedName>
    <definedName name="q20no" localSheetId="0">#REF!</definedName>
    <definedName name="q20no">'PART4'!$I$226</definedName>
    <definedName name="q20nsc">#REF!</definedName>
    <definedName name="q20nss">#REF!</definedName>
    <definedName name="q20nuc">#REF!</definedName>
    <definedName name="q20nw" localSheetId="0">#REF!</definedName>
    <definedName name="q20nw">'PART4'!$C$226</definedName>
    <definedName name="q21n" localSheetId="0">#REF!</definedName>
    <definedName name="q21n">'PART4'!$C$66</definedName>
    <definedName name="q21nb" localSheetId="0">#REF!</definedName>
    <definedName name="q21nb">'PART4'!$F$234</definedName>
    <definedName name="q21nbu">#REF!</definedName>
    <definedName name="q21ned">#REF!</definedName>
    <definedName name="q21nen">#REF!</definedName>
    <definedName name="q21nf" localSheetId="0">#REF!</definedName>
    <definedName name="q21nf">'PART4'!$F$145</definedName>
    <definedName name="q21nfa">#REF!</definedName>
    <definedName name="q21nhu">#REF!</definedName>
    <definedName name="q21nm" localSheetId="0">#REF!</definedName>
    <definedName name="q21nm">'PART4'!$C$145</definedName>
    <definedName name="q21nnu">#REF!</definedName>
    <definedName name="q21no" localSheetId="0">#REF!</definedName>
    <definedName name="q21no">'PART4'!$I$234</definedName>
    <definedName name="q21nsc">#REF!</definedName>
    <definedName name="q21nss">#REF!</definedName>
    <definedName name="q21nuc">#REF!</definedName>
    <definedName name="q21nw" localSheetId="0">#REF!</definedName>
    <definedName name="q21nw">'PART4'!$C$234</definedName>
    <definedName name="q22n" localSheetId="0">#REF!</definedName>
    <definedName name="q22n">'PART4'!$C$74</definedName>
    <definedName name="q22nb" localSheetId="0">#REF!</definedName>
    <definedName name="q22nb">'PART4'!$F$242</definedName>
    <definedName name="q22nbu">#REF!</definedName>
    <definedName name="q22ned">#REF!</definedName>
    <definedName name="q22nen">#REF!</definedName>
    <definedName name="q22nf" localSheetId="0">#REF!</definedName>
    <definedName name="q22nf">'PART4'!$F$161</definedName>
    <definedName name="q22nfa">#REF!</definedName>
    <definedName name="q22nhu">#REF!</definedName>
    <definedName name="q22nm" localSheetId="0">#REF!</definedName>
    <definedName name="q22nm">'PART4'!$C$161</definedName>
    <definedName name="q22nnu">#REF!</definedName>
    <definedName name="q22no" localSheetId="0">#REF!</definedName>
    <definedName name="q22no">'PART4'!$I$242</definedName>
    <definedName name="q22nsc">#REF!</definedName>
    <definedName name="q22nss">#REF!</definedName>
    <definedName name="q22nuc">#REF!</definedName>
    <definedName name="q22nw" localSheetId="0">#REF!</definedName>
    <definedName name="q22nw">'PART4'!$C$242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0">#REF!</definedName>
    <definedName name="q28an">'Part5'!$C$15</definedName>
    <definedName name="q28anb" localSheetId="0">#REF!</definedName>
    <definedName name="q28anb">'Part5'!$F$109</definedName>
    <definedName name="q28anf" localSheetId="0">#REF!</definedName>
    <definedName name="q28anf">'Part5'!$F$61</definedName>
    <definedName name="q28anm" localSheetId="0">#REF!</definedName>
    <definedName name="q28anm">'Part5'!$C$61</definedName>
    <definedName name="q28ano" localSheetId="0">#REF!</definedName>
    <definedName name="q28ano">'Part5'!$I$109</definedName>
    <definedName name="q28anw" localSheetId="0">#REF!</definedName>
    <definedName name="q28anw">'Part5'!$C$109</definedName>
    <definedName name="q28bn" localSheetId="0">#REF!</definedName>
    <definedName name="q28bn">'Part5'!$C$22</definedName>
    <definedName name="q28bnb" localSheetId="0">#REF!</definedName>
    <definedName name="q28bnb">'Part5'!$F$116</definedName>
    <definedName name="q28bnf" localSheetId="0">#REF!</definedName>
    <definedName name="q28bnf">'Part5'!$F$68</definedName>
    <definedName name="q28bnm" localSheetId="0">#REF!</definedName>
    <definedName name="q28bnm">'Part5'!$C$68</definedName>
    <definedName name="q28bno" localSheetId="0">#REF!</definedName>
    <definedName name="q28bno">'Part5'!$I$116</definedName>
    <definedName name="q28bnw" localSheetId="0">#REF!</definedName>
    <definedName name="q28bnw">'Part5'!$C$116</definedName>
    <definedName name="q28cn" localSheetId="0">#REF!</definedName>
    <definedName name="q28cn">'Part5'!$C$29</definedName>
    <definedName name="q28cnb" localSheetId="0">#REF!</definedName>
    <definedName name="q28cnb">'Part5'!$F$123</definedName>
    <definedName name="q28cnf" localSheetId="0">#REF!</definedName>
    <definedName name="q28cnf">'Part5'!$F$75</definedName>
    <definedName name="q28cnm" localSheetId="0">#REF!</definedName>
    <definedName name="q28cnm">'Part5'!$C$75</definedName>
    <definedName name="q28cno" localSheetId="0">#REF!</definedName>
    <definedName name="q28cno">'Part5'!$I$123</definedName>
    <definedName name="q28cnw" localSheetId="0">#REF!</definedName>
    <definedName name="q28cnw">'Part5'!$C$123</definedName>
    <definedName name="q29n" localSheetId="0">#REF!</definedName>
    <definedName name="q29n">'Part5'!$C$35</definedName>
    <definedName name="q29nb" localSheetId="0">#REF!</definedName>
    <definedName name="q29nb">'Part5'!$F$129</definedName>
    <definedName name="q29nf" localSheetId="0">#REF!</definedName>
    <definedName name="q29nf">'Part5'!$F$81</definedName>
    <definedName name="q29nm" localSheetId="0">#REF!</definedName>
    <definedName name="q29nm">'Part5'!$C$81</definedName>
    <definedName name="q29no" localSheetId="0">#REF!</definedName>
    <definedName name="q29no">'Part5'!$I$129</definedName>
    <definedName name="q29nw" localSheetId="0">#REF!</definedName>
    <definedName name="q29nw">'Part5'!$C$129</definedName>
    <definedName name="q2n" localSheetId="0">#REF!</definedName>
    <definedName name="q2n" localSheetId="2">#REF!</definedName>
    <definedName name="q2n" localSheetId="1">#REF!</definedName>
    <definedName name="q2n">'PART1'!$C$25</definedName>
    <definedName name="q2nb" localSheetId="0">#REF!</definedName>
    <definedName name="q2nb" localSheetId="2">#REF!</definedName>
    <definedName name="q2nb" localSheetId="1">#REF!</definedName>
    <definedName name="q2nb">'PART1'!$F$383</definedName>
    <definedName name="q2nf" localSheetId="0">#REF!</definedName>
    <definedName name="q2nf" localSheetId="2">#REF!</definedName>
    <definedName name="q2nf" localSheetId="1">#REF!</definedName>
    <definedName name="q2nf">'PART1'!$F$208</definedName>
    <definedName name="q2nm" localSheetId="0">#REF!</definedName>
    <definedName name="q2nm" localSheetId="2">#REF!</definedName>
    <definedName name="q2nm" localSheetId="1">#REF!</definedName>
    <definedName name="q2nm">'PART1'!$C$208</definedName>
    <definedName name="q2no" localSheetId="0">#REF!</definedName>
    <definedName name="q2no" localSheetId="2">#REF!</definedName>
    <definedName name="q2no" localSheetId="1">#REF!</definedName>
    <definedName name="q2no">'PART1'!$I$383</definedName>
    <definedName name="q2nw" localSheetId="0">#REF!</definedName>
    <definedName name="q2nw" localSheetId="2">#REF!</definedName>
    <definedName name="q2nw" localSheetId="1">#REF!</definedName>
    <definedName name="q2nw">'PART1'!$C$383</definedName>
    <definedName name="q30n" localSheetId="0">#REF!</definedName>
    <definedName name="q30n">'Part5'!$C$40</definedName>
    <definedName name="q30nb" localSheetId="0">#REF!</definedName>
    <definedName name="q30nb">'Part5'!$F$134</definedName>
    <definedName name="q30nf" localSheetId="0">#REF!</definedName>
    <definedName name="q30nf">'Part5'!$F$86</definedName>
    <definedName name="q30nm" localSheetId="0">#REF!</definedName>
    <definedName name="q30nm">'Part5'!$C$86</definedName>
    <definedName name="q30no" localSheetId="0">#REF!</definedName>
    <definedName name="q30no">'Part5'!$I$134</definedName>
    <definedName name="q30nw" localSheetId="0">#REF!</definedName>
    <definedName name="q30nw">'Part5'!$C$134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0">#REF!</definedName>
    <definedName name="q3n" localSheetId="2">#REF!</definedName>
    <definedName name="q3n" localSheetId="1">#REF!</definedName>
    <definedName name="q3n">'PART1'!$C$37</definedName>
    <definedName name="q3nb" localSheetId="0">#REF!</definedName>
    <definedName name="q3nb" localSheetId="2">#REF!</definedName>
    <definedName name="q3nb" localSheetId="1">#REF!</definedName>
    <definedName name="q3nb">'PART1'!$F$404</definedName>
    <definedName name="q3nf" localSheetId="0">#REF!</definedName>
    <definedName name="q3nf" localSheetId="2">#REF!</definedName>
    <definedName name="q3nf" localSheetId="1">#REF!</definedName>
    <definedName name="q3nf">'PART1'!$F$220</definedName>
    <definedName name="q3nm" localSheetId="0">#REF!</definedName>
    <definedName name="q3nm" localSheetId="2">#REF!</definedName>
    <definedName name="q3nm" localSheetId="1">#REF!</definedName>
    <definedName name="q3nm">'PART1'!$C$220</definedName>
    <definedName name="q3no" localSheetId="0">#REF!</definedName>
    <definedName name="q3no" localSheetId="2">#REF!</definedName>
    <definedName name="q3no" localSheetId="1">#REF!</definedName>
    <definedName name="q3no">'PART1'!$I$404</definedName>
    <definedName name="q3nw" localSheetId="0">#REF!</definedName>
    <definedName name="q3nw" localSheetId="2">#REF!</definedName>
    <definedName name="q3nw" localSheetId="1">#REF!</definedName>
    <definedName name="q3nw">'PART1'!$C$404</definedName>
    <definedName name="q4n" localSheetId="0">#REF!</definedName>
    <definedName name="q4n" localSheetId="2">#REF!</definedName>
    <definedName name="q4n" localSheetId="5">'PART3'!#REF!</definedName>
    <definedName name="q4n" localSheetId="6">'PART4'!$C$24</definedName>
    <definedName name="q4n" localSheetId="7">'Part5'!$C$23</definedName>
    <definedName name="q4n" localSheetId="1">#REF!</definedName>
    <definedName name="q4n">'PART1'!$C$45</definedName>
    <definedName name="q4nb" localSheetId="0">#REF!</definedName>
    <definedName name="q4nb" localSheetId="2">#REF!</definedName>
    <definedName name="q4nb" localSheetId="5">'PART3'!$F$83</definedName>
    <definedName name="q4nb" localSheetId="6">'PART4'!$F$185</definedName>
    <definedName name="q4nb" localSheetId="7">'Part5'!$F$119</definedName>
    <definedName name="q4nb" localSheetId="1">#REF!</definedName>
    <definedName name="q4nb">'PART1'!$F$412</definedName>
    <definedName name="q4nf" localSheetId="0">#REF!</definedName>
    <definedName name="q4nf" localSheetId="2">#REF!</definedName>
    <definedName name="q4nf" localSheetId="5">'PART3'!#REF!</definedName>
    <definedName name="q4nf" localSheetId="6">'PART4'!$F$109</definedName>
    <definedName name="q4nf" localSheetId="7">'Part5'!$F$69</definedName>
    <definedName name="q4nf" localSheetId="1">#REF!</definedName>
    <definedName name="q4nf">'PART1'!$F$228</definedName>
    <definedName name="q4nm" localSheetId="0">#REF!</definedName>
    <definedName name="q4nm" localSheetId="2">#REF!</definedName>
    <definedName name="q4nm" localSheetId="5">'PART3'!#REF!</definedName>
    <definedName name="q4nm" localSheetId="6">'PART4'!$C$109</definedName>
    <definedName name="q4nm" localSheetId="7">'Part5'!$C$69</definedName>
    <definedName name="q4nm" localSheetId="1">#REF!</definedName>
    <definedName name="q4nm">'PART1'!$C$228</definedName>
    <definedName name="q4no" localSheetId="0">#REF!</definedName>
    <definedName name="q4no" localSheetId="2">#REF!</definedName>
    <definedName name="q4no" localSheetId="5">'PART3'!$I$83</definedName>
    <definedName name="q4no" localSheetId="6">'PART4'!$I$185</definedName>
    <definedName name="q4no" localSheetId="7">'Part5'!$I$119</definedName>
    <definedName name="q4no" localSheetId="1">#REF!</definedName>
    <definedName name="q4no">'PART1'!$I$412</definedName>
    <definedName name="q4nw" localSheetId="0">#REF!</definedName>
    <definedName name="q4nw" localSheetId="2">#REF!</definedName>
    <definedName name="q4nw" localSheetId="5">'PART3'!$C$83</definedName>
    <definedName name="q4nw" localSheetId="6">'PART4'!$C$185</definedName>
    <definedName name="q4nw" localSheetId="7">'Part5'!$C$119</definedName>
    <definedName name="q4nw" localSheetId="1">#REF!</definedName>
    <definedName name="q4nw">'PART1'!$C$412</definedName>
    <definedName name="q5an" localSheetId="0">#REF!</definedName>
    <definedName name="q5an" localSheetId="2">#REF!</definedName>
    <definedName name="q5an" localSheetId="1">#REF!</definedName>
    <definedName name="q5an">'PART1'!#REF!</definedName>
    <definedName name="q5anb" localSheetId="0">#REF!</definedName>
    <definedName name="q5anb" localSheetId="2">#REF!</definedName>
    <definedName name="q5anb" localSheetId="1">#REF!</definedName>
    <definedName name="q5anb">'PART1'!#REF!</definedName>
    <definedName name="q5anf" localSheetId="0">#REF!</definedName>
    <definedName name="q5anf" localSheetId="2">#REF!</definedName>
    <definedName name="q5anf" localSheetId="1">#REF!</definedName>
    <definedName name="q5anf">'PART1'!#REF!</definedName>
    <definedName name="q5anm" localSheetId="0">#REF!</definedName>
    <definedName name="q5anm" localSheetId="2">#REF!</definedName>
    <definedName name="q5anm" localSheetId="1">#REF!</definedName>
    <definedName name="q5anm">'PART1'!#REF!</definedName>
    <definedName name="q5ano" localSheetId="0">#REF!</definedName>
    <definedName name="q5ano" localSheetId="2">#REF!</definedName>
    <definedName name="q5ano" localSheetId="1">#REF!</definedName>
    <definedName name="q5ano">'PART1'!#REF!</definedName>
    <definedName name="q5anw" localSheetId="0">#REF!</definedName>
    <definedName name="q5anw" localSheetId="2">#REF!</definedName>
    <definedName name="q5anw" localSheetId="1">#REF!</definedName>
    <definedName name="q5anw">'PART1'!#REF!</definedName>
    <definedName name="q5n" localSheetId="0">#REF!</definedName>
    <definedName name="q5n" localSheetId="2">#REF!</definedName>
    <definedName name="q5n" localSheetId="5">'PART3'!#REF!</definedName>
    <definedName name="q5n" localSheetId="6">'PART4'!$C$30</definedName>
    <definedName name="q5n" localSheetId="1">#REF!</definedName>
    <definedName name="q5n">'PART1'!$C$59</definedName>
    <definedName name="q5nb" localSheetId="0">#REF!</definedName>
    <definedName name="q5nb" localSheetId="2">#REF!</definedName>
    <definedName name="q5nb" localSheetId="5">'PART3'!$F$89</definedName>
    <definedName name="q5nb" localSheetId="6">'PART4'!#REF!</definedName>
    <definedName name="q5nb" localSheetId="1">#REF!</definedName>
    <definedName name="q5nb">'PART1'!$F$419</definedName>
    <definedName name="q5nf" localSheetId="0">#REF!</definedName>
    <definedName name="q5nf" localSheetId="2">#REF!</definedName>
    <definedName name="q5nf" localSheetId="5">'PART3'!#REF!</definedName>
    <definedName name="q5nf" localSheetId="6">'PART4'!#REF!</definedName>
    <definedName name="q5nf" localSheetId="1">#REF!</definedName>
    <definedName name="q5nf">'PART1'!$F$235</definedName>
    <definedName name="q5nm" localSheetId="0">#REF!</definedName>
    <definedName name="q5nm" localSheetId="2">#REF!</definedName>
    <definedName name="q5nm" localSheetId="5">'PART3'!#REF!</definedName>
    <definedName name="q5nm" localSheetId="6">'PART4'!#REF!</definedName>
    <definedName name="q5nm" localSheetId="1">#REF!</definedName>
    <definedName name="q5nm">'PART1'!$C$235</definedName>
    <definedName name="q5no" localSheetId="0">#REF!</definedName>
    <definedName name="q5no" localSheetId="2">#REF!</definedName>
    <definedName name="q5no" localSheetId="5">'PART3'!$I$89</definedName>
    <definedName name="q5no" localSheetId="6">'PART4'!#REF!</definedName>
    <definedName name="q5no" localSheetId="1">#REF!</definedName>
    <definedName name="q5no">'PART1'!$I$419</definedName>
    <definedName name="q5nw" localSheetId="0">#REF!</definedName>
    <definedName name="q5nw" localSheetId="2">#REF!</definedName>
    <definedName name="q5nw" localSheetId="5">'PART3'!$C$89</definedName>
    <definedName name="q5nw" localSheetId="6">'PART4'!#REF!</definedName>
    <definedName name="q5nw" localSheetId="1">#REF!</definedName>
    <definedName name="q5nw">'PART1'!$C$419</definedName>
    <definedName name="q61nf" localSheetId="0">#REF!</definedName>
    <definedName name="q61nf" localSheetId="2">#REF!</definedName>
    <definedName name="q61nf" localSheetId="1">#REF!</definedName>
    <definedName name="q61nf">'PART1'!#REF!</definedName>
    <definedName name="q6an" localSheetId="0">#REF!</definedName>
    <definedName name="q6an" localSheetId="2">#REF!</definedName>
    <definedName name="q6an" localSheetId="1">#REF!</definedName>
    <definedName name="q6an">'PART1'!#REF!</definedName>
    <definedName name="q6anb" localSheetId="0">#REF!</definedName>
    <definedName name="q6anb" localSheetId="2">#REF!</definedName>
    <definedName name="q6anb" localSheetId="1">#REF!</definedName>
    <definedName name="q6anb">'PART1'!#REF!</definedName>
    <definedName name="q6anf" localSheetId="0">#REF!</definedName>
    <definedName name="q6anf" localSheetId="2">#REF!</definedName>
    <definedName name="q6anf" localSheetId="1">#REF!</definedName>
    <definedName name="q6anf">'PART1'!#REF!</definedName>
    <definedName name="q6anm" localSheetId="0">#REF!</definedName>
    <definedName name="q6anm" localSheetId="2">#REF!</definedName>
    <definedName name="q6anm" localSheetId="1">#REF!</definedName>
    <definedName name="q6anm">'PART1'!#REF!</definedName>
    <definedName name="q6ano" localSheetId="0">#REF!</definedName>
    <definedName name="q6ano" localSheetId="2">#REF!</definedName>
    <definedName name="q6ano" localSheetId="1">#REF!</definedName>
    <definedName name="q6ano">'PART1'!#REF!</definedName>
    <definedName name="q6anw" localSheetId="0">#REF!</definedName>
    <definedName name="q6anw" localSheetId="2">#REF!</definedName>
    <definedName name="q6anw" localSheetId="1">#REF!</definedName>
    <definedName name="q6anw">'PART1'!#REF!</definedName>
    <definedName name="q6n" localSheetId="0">#REF!</definedName>
    <definedName name="q6n" localSheetId="2">#REF!</definedName>
    <definedName name="q6n" localSheetId="1">#REF!</definedName>
    <definedName name="q6n">'PART1'!$C$69</definedName>
    <definedName name="q6nb" localSheetId="0">#REF!</definedName>
    <definedName name="q6nb" localSheetId="2">#REF!</definedName>
    <definedName name="q6nb" localSheetId="1">#REF!</definedName>
    <definedName name="q6nb">'PART1'!$F$429</definedName>
    <definedName name="q6nf" localSheetId="0">#REF!</definedName>
    <definedName name="q6nf" localSheetId="2">#REF!</definedName>
    <definedName name="q6nf" localSheetId="1">#REF!</definedName>
    <definedName name="q6nf">'PART1'!$F$254</definedName>
    <definedName name="q6nm" localSheetId="0">#REF!</definedName>
    <definedName name="q6nm" localSheetId="2">#REF!</definedName>
    <definedName name="q6nm" localSheetId="1">#REF!</definedName>
    <definedName name="q6nm">'PART1'!$C$254</definedName>
    <definedName name="q6no" localSheetId="0">#REF!</definedName>
    <definedName name="q6no" localSheetId="2">#REF!</definedName>
    <definedName name="q6no" localSheetId="1">#REF!</definedName>
    <definedName name="q6no">'PART1'!$I$429</definedName>
    <definedName name="q6nw" localSheetId="0">#REF!</definedName>
    <definedName name="q6nw" localSheetId="2">#REF!</definedName>
    <definedName name="q6nw" localSheetId="1">#REF!</definedName>
    <definedName name="q6nw">'PART1'!$C$429</definedName>
    <definedName name="q7an" localSheetId="0">#REF!</definedName>
    <definedName name="q7an" localSheetId="2">#REF!</definedName>
    <definedName name="q7an" localSheetId="1">#REF!</definedName>
    <definedName name="q7an">'PART1'!$C$79</definedName>
    <definedName name="q7anb" localSheetId="0">#REF!</definedName>
    <definedName name="q7anb" localSheetId="2">#REF!</definedName>
    <definedName name="q7anb" localSheetId="1">#REF!</definedName>
    <definedName name="q7anb">'PART1'!$F$448</definedName>
    <definedName name="q7anf" localSheetId="0">#REF!</definedName>
    <definedName name="q7anf" localSheetId="2">#REF!</definedName>
    <definedName name="q7anf" localSheetId="1">#REF!</definedName>
    <definedName name="q7anf">'PART1'!$F$264</definedName>
    <definedName name="q7anm" localSheetId="0">#REF!</definedName>
    <definedName name="q7anm" localSheetId="2">#REF!</definedName>
    <definedName name="q7anm" localSheetId="1">#REF!</definedName>
    <definedName name="q7anm">'PART1'!$C$264</definedName>
    <definedName name="q7ano" localSheetId="0">#REF!</definedName>
    <definedName name="q7ano" localSheetId="2">#REF!</definedName>
    <definedName name="q7ano" localSheetId="1">#REF!</definedName>
    <definedName name="q7ano">'PART1'!$I$448</definedName>
    <definedName name="q7anw" localSheetId="0">#REF!</definedName>
    <definedName name="q7anw" localSheetId="2">#REF!</definedName>
    <definedName name="q7anw" localSheetId="1">#REF!</definedName>
    <definedName name="q7anw">'PART1'!$C$448</definedName>
    <definedName name="q7bn" localSheetId="0">#REF!</definedName>
    <definedName name="q7bn" localSheetId="2">#REF!</definedName>
    <definedName name="q7bn" localSheetId="1">#REF!</definedName>
    <definedName name="q7bn">'PART1'!$C$87</definedName>
    <definedName name="q7bnb" localSheetId="0">#REF!</definedName>
    <definedName name="q7bnb" localSheetId="2">#REF!</definedName>
    <definedName name="q7bnb" localSheetId="1">#REF!</definedName>
    <definedName name="q7bnb">'PART1'!#REF!</definedName>
    <definedName name="q7bnf" localSheetId="0">#REF!</definedName>
    <definedName name="q7bnf" localSheetId="2">#REF!</definedName>
    <definedName name="q7bnf" localSheetId="1">#REF!</definedName>
    <definedName name="q7bnf">'PART1'!$F$272</definedName>
    <definedName name="q7bnm" localSheetId="0">#REF!</definedName>
    <definedName name="q7bnm" localSheetId="2">#REF!</definedName>
    <definedName name="q7bnm" localSheetId="1">#REF!</definedName>
    <definedName name="q7bnm">'PART1'!$C$272</definedName>
    <definedName name="q7bno" localSheetId="0">#REF!</definedName>
    <definedName name="q7bno" localSheetId="2">#REF!</definedName>
    <definedName name="q7bno" localSheetId="1">#REF!</definedName>
    <definedName name="q7bno">'PART1'!$I$456</definedName>
    <definedName name="q7bnw" localSheetId="0">#REF!</definedName>
    <definedName name="q7bnw" localSheetId="2">#REF!</definedName>
    <definedName name="q7bnw" localSheetId="1">#REF!</definedName>
    <definedName name="q7bnw">'PART1'!$C$456</definedName>
    <definedName name="q8n" localSheetId="0">#REF!</definedName>
    <definedName name="q8n" localSheetId="2">#REF!</definedName>
    <definedName name="q8n" localSheetId="1">#REF!</definedName>
    <definedName name="q8n">'PART1'!$C$158</definedName>
    <definedName name="q8nb" localSheetId="0">#REF!</definedName>
    <definedName name="q8nb" localSheetId="2">#REF!</definedName>
    <definedName name="q8nb" localSheetId="1">#REF!</definedName>
    <definedName name="q8nb">'PART1'!$F$516</definedName>
    <definedName name="q8nf" localSheetId="0">#REF!</definedName>
    <definedName name="q8nf" localSheetId="2">#REF!</definedName>
    <definedName name="q8nf" localSheetId="1">#REF!</definedName>
    <definedName name="q8nf">'PART1'!$F$334</definedName>
    <definedName name="q8nm" localSheetId="0">#REF!</definedName>
    <definedName name="q8nm" localSheetId="2">#REF!</definedName>
    <definedName name="q8nm" localSheetId="1">#REF!</definedName>
    <definedName name="q8nm">'PART1'!$C$334</definedName>
    <definedName name="q8no" localSheetId="0">#REF!</definedName>
    <definedName name="q8no" localSheetId="2">#REF!</definedName>
    <definedName name="q8no" localSheetId="1">#REF!</definedName>
    <definedName name="q8no">'PART1'!$I$516</definedName>
    <definedName name="q8nw" localSheetId="0">#REF!</definedName>
    <definedName name="q8nw" localSheetId="2">#REF!</definedName>
    <definedName name="q8nw" localSheetId="1">#REF!</definedName>
    <definedName name="q8nw">'PART1'!$C$516</definedName>
    <definedName name="q9n" localSheetId="0">#REF!</definedName>
    <definedName name="q9n" localSheetId="2">#REF!</definedName>
    <definedName name="q9n" localSheetId="4">'PART2'!$C$50</definedName>
    <definedName name="q9n" localSheetId="5">'PART3'!#REF!</definedName>
    <definedName name="q9n" localSheetId="6">'PART4'!$C$34</definedName>
    <definedName name="q9n" localSheetId="1">#REF!</definedName>
    <definedName name="q9n">'PART1'!$C$109</definedName>
    <definedName name="q9nb" localSheetId="0">#REF!</definedName>
    <definedName name="q9nb" localSheetId="2">#REF!</definedName>
    <definedName name="q9nb" localSheetId="4">'PART2'!#REF!</definedName>
    <definedName name="q9nb" localSheetId="5">'PART3'!$F$95</definedName>
    <definedName name="q9nb" localSheetId="6">'PART4'!$F$209</definedName>
    <definedName name="q9nb" localSheetId="7">'Part5'!#REF!</definedName>
    <definedName name="q9nb" localSheetId="1">#REF!</definedName>
    <definedName name="q9nb">'PART1'!$F$464</definedName>
    <definedName name="q9nf" localSheetId="0">#REF!</definedName>
    <definedName name="q9nf" localSheetId="2">#REF!</definedName>
    <definedName name="q9nf" localSheetId="4">'PART2'!#REF!</definedName>
    <definedName name="q9nf" localSheetId="5">'PART3'!#REF!</definedName>
    <definedName name="q9nf" localSheetId="6">'PART4'!$F$120</definedName>
    <definedName name="q9nf" localSheetId="1">#REF!</definedName>
    <definedName name="q9nf">'PART1'!$F$280</definedName>
    <definedName name="q9nm" localSheetId="0">#REF!</definedName>
    <definedName name="q9nm" localSheetId="2">#REF!</definedName>
    <definedName name="q9nm" localSheetId="4">'PART2'!$C$90</definedName>
    <definedName name="q9nm" localSheetId="5">'PART3'!#REF!</definedName>
    <definedName name="q9nm" localSheetId="6">'PART4'!$C$120</definedName>
    <definedName name="q9nm" localSheetId="1">#REF!</definedName>
    <definedName name="q9nm">'PART1'!$C$280</definedName>
    <definedName name="q9no" localSheetId="0">#REF!</definedName>
    <definedName name="q9no" localSheetId="2">#REF!</definedName>
    <definedName name="q9no" localSheetId="4">'PART2'!#REF!</definedName>
    <definedName name="q9no" localSheetId="5">'PART3'!$I$95</definedName>
    <definedName name="q9no" localSheetId="6">'PART4'!$I$209</definedName>
    <definedName name="q9no" localSheetId="7">'Part5'!#REF!</definedName>
    <definedName name="q9no" localSheetId="1">#REF!</definedName>
    <definedName name="q9no">'PART1'!$I$464</definedName>
    <definedName name="q9nw" localSheetId="0">#REF!</definedName>
    <definedName name="q9nw" localSheetId="2">#REF!</definedName>
    <definedName name="q9nw" localSheetId="4">'PART2'!$C$130</definedName>
    <definedName name="q9nw" localSheetId="5">'PART3'!$C$95</definedName>
    <definedName name="q9nw" localSheetId="6">'PART4'!$C$209</definedName>
    <definedName name="q9nw" localSheetId="1">#REF!</definedName>
    <definedName name="q9nw">'PART1'!$C$464</definedName>
    <definedName name="qinm" localSheetId="0">#REF!</definedName>
    <definedName name="qinm" localSheetId="2">#REF!</definedName>
    <definedName name="qinm" localSheetId="4">'PART2'!#REF!</definedName>
    <definedName name="qinm" localSheetId="5">'PART3'!$C$39</definedName>
    <definedName name="qinm" localSheetId="6">'PART4'!$C$85</definedName>
    <definedName name="qinm" localSheetId="7">'Part5'!$C$60</definedName>
    <definedName name="qinm" localSheetId="1">#REF!</definedName>
    <definedName name="qinm">'PART1'!$C$191</definedName>
    <definedName name="sp" localSheetId="0">#REF!</definedName>
    <definedName name="sp">'PART4'!$E$90</definedName>
    <definedName name="title1">#REF!</definedName>
    <definedName name="title2">#REF!</definedName>
    <definedName name="title3">#REF!</definedName>
    <definedName name="titlep2" localSheetId="0">#REF!</definedName>
    <definedName name="titlep2" localSheetId="2">#REF!</definedName>
    <definedName name="titlep2" localSheetId="1">#REF!</definedName>
    <definedName name="titlep2">'PART1'!$181:$184</definedName>
    <definedName name="titlep3" localSheetId="0">#REF!</definedName>
    <definedName name="titlep3" localSheetId="2">#REF!</definedName>
    <definedName name="titlep3" localSheetId="1">#REF!</definedName>
    <definedName name="titlep3">'PART1'!$365:$367</definedName>
    <definedName name="total" localSheetId="0">#REF!</definedName>
    <definedName name="total" localSheetId="2">#REF!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7">'Part5'!$C$8</definedName>
    <definedName name="total" localSheetId="8">'PART6'!$C$8</definedName>
    <definedName name="total" localSheetId="1">#REF!</definedName>
    <definedName name="total">'PART1'!$C$8</definedName>
    <definedName name="total1" localSheetId="0">#REF!</definedName>
    <definedName name="total1" localSheetId="2">#REF!</definedName>
    <definedName name="total1" localSheetId="4">'PART2'!$C$26</definedName>
    <definedName name="total1" localSheetId="5">'PART3'!$C$20</definedName>
    <definedName name="total1" localSheetId="6">'PART4'!$C$18</definedName>
    <definedName name="total1" localSheetId="7">'Part5'!$C$18</definedName>
    <definedName name="total1" localSheetId="1">#REF!</definedName>
    <definedName name="total1">'PART1'!$C$20</definedName>
    <definedName name="total10" localSheetId="0">#REF!</definedName>
    <definedName name="total10" localSheetId="2">#REF!</definedName>
    <definedName name="total10" localSheetId="4">'PART2'!$C$21</definedName>
    <definedName name="total10" localSheetId="1">#REF!</definedName>
    <definedName name="total10">'PART1'!$C$15</definedName>
    <definedName name="total10b" localSheetId="0">#REF!</definedName>
    <definedName name="total10b">'PART2'!$F$107</definedName>
    <definedName name="total10f" localSheetId="0">#REF!</definedName>
    <definedName name="total10f">'PART2'!$F$64</definedName>
    <definedName name="total10m" localSheetId="0">#REF!</definedName>
    <definedName name="total10m">'PART2'!$C$64</definedName>
    <definedName name="total10o" localSheetId="0">#REF!</definedName>
    <definedName name="total10o">'PART2'!$I$107</definedName>
    <definedName name="total10w" localSheetId="0">#REF!</definedName>
    <definedName name="total10w">'PART2'!$C$107</definedName>
    <definedName name="total51o" localSheetId="0">#REF!</definedName>
    <definedName name="total51o" localSheetId="2">#REF!</definedName>
    <definedName name="total51o" localSheetId="1">#REF!</definedName>
    <definedName name="total51o">'PART1'!$I$416</definedName>
    <definedName name="total5ab" localSheetId="0">#REF!</definedName>
    <definedName name="total5ab" localSheetId="2">#REF!</definedName>
    <definedName name="total5ab" localSheetId="1">#REF!</definedName>
    <definedName name="total5ab">'PART1'!$F$416</definedName>
    <definedName name="total5af" localSheetId="0">#REF!</definedName>
    <definedName name="total5af" localSheetId="2">#REF!</definedName>
    <definedName name="total5af" localSheetId="1">#REF!</definedName>
    <definedName name="total5af">'PART1'!$F$232</definedName>
    <definedName name="total5am" localSheetId="0">#REF!</definedName>
    <definedName name="total5am" localSheetId="2">#REF!</definedName>
    <definedName name="total5am" localSheetId="1">#REF!</definedName>
    <definedName name="total5am">'PART1'!$C$232</definedName>
    <definedName name="total5ao" localSheetId="0">#REF!</definedName>
    <definedName name="total5ao" localSheetId="2">#REF!</definedName>
    <definedName name="total5ao" localSheetId="1">#REF!</definedName>
    <definedName name="total5ao">'PART1'!$I$416</definedName>
    <definedName name="total5aw" localSheetId="0">#REF!</definedName>
    <definedName name="total5aw" localSheetId="2">#REF!</definedName>
    <definedName name="total5aw" localSheetId="1">#REF!</definedName>
    <definedName name="total5aw">'PART1'!$C$416</definedName>
    <definedName name="total6ab" localSheetId="0">#REF!</definedName>
    <definedName name="total6ab" localSheetId="2">#REF!</definedName>
    <definedName name="total6ab" localSheetId="1">#REF!</definedName>
    <definedName name="total6ab">'PART1'!$F$423</definedName>
    <definedName name="total6ao" localSheetId="0">#REF!</definedName>
    <definedName name="total6ao" localSheetId="2">#REF!</definedName>
    <definedName name="total6ao" localSheetId="1">#REF!</definedName>
    <definedName name="total6ao">'PART1'!$I$423</definedName>
    <definedName name="total6aw" localSheetId="0">#REF!</definedName>
    <definedName name="total6aw" localSheetId="2">#REF!</definedName>
    <definedName name="total6aw" localSheetId="1">#REF!</definedName>
    <definedName name="total6aw">'PART1'!$C$423</definedName>
    <definedName name="totalb" localSheetId="0">#REF!</definedName>
    <definedName name="totalb" localSheetId="2">#REF!</definedName>
    <definedName name="totalb" localSheetId="4">'PART2'!$F$93</definedName>
    <definedName name="totalb" localSheetId="5">'PART3'!$F$62</definedName>
    <definedName name="totalb" localSheetId="6">'PART4'!$F$166</definedName>
    <definedName name="totalb" localSheetId="7">'Part5'!$F$101</definedName>
    <definedName name="totalb" localSheetId="8">'PART6'!$F$411</definedName>
    <definedName name="totalb" localSheetId="1">#REF!</definedName>
    <definedName name="totalb">'PART1'!$F$369</definedName>
    <definedName name="totalb1" localSheetId="0">#REF!</definedName>
    <definedName name="totalb1" localSheetId="2">#REF!</definedName>
    <definedName name="totalb1" localSheetId="4">'PART2'!#REF!</definedName>
    <definedName name="totalb1" localSheetId="5">'PART3'!$F$75</definedName>
    <definedName name="totalb1" localSheetId="6">'PART4'!$F$178</definedName>
    <definedName name="totalb1" localSheetId="7">'Part5'!$F$113</definedName>
    <definedName name="totalb1" localSheetId="1">#REF!</definedName>
    <definedName name="totalb1">'PART1'!$F$378</definedName>
    <definedName name="totalbu">#REF!</definedName>
    <definedName name="totaled">#REF!</definedName>
    <definedName name="totalen">#REF!</definedName>
    <definedName name="totalf" localSheetId="0">#REF!</definedName>
    <definedName name="totalf" localSheetId="2">#REF!</definedName>
    <definedName name="totalf" localSheetId="4">'PART2'!$F$51</definedName>
    <definedName name="totalf" localSheetId="5">'PART3'!$F$31</definedName>
    <definedName name="totalf" localSheetId="6">'PART4'!$F$79</definedName>
    <definedName name="totalf" localSheetId="7">'Part5'!$F$53</definedName>
    <definedName name="totalf" localSheetId="8">'PART6'!$F$206</definedName>
    <definedName name="totalf" localSheetId="1">#REF!</definedName>
    <definedName name="totalf">'PART1'!$F$185</definedName>
    <definedName name="totalf1" localSheetId="0">#REF!</definedName>
    <definedName name="totalf1" localSheetId="2">#REF!</definedName>
    <definedName name="totalf1" localSheetId="4">'PART2'!#REF!</definedName>
    <definedName name="totalf1" localSheetId="5">'PART3'!$F$52</definedName>
    <definedName name="totalf1" localSheetId="6">'PART4'!$F$91</definedName>
    <definedName name="totalf1" localSheetId="7">'Part5'!$F$64</definedName>
    <definedName name="totalf1" localSheetId="1">#REF!</definedName>
    <definedName name="totalf1">'PART1'!$F$203</definedName>
    <definedName name="totalfa">#REF!</definedName>
    <definedName name="totalg" localSheetId="0">#REF!</definedName>
    <definedName name="totalg" localSheetId="2">'GRADRESP'!$B$9</definedName>
    <definedName name="totalg" localSheetId="3">'PART1'!#REF!</definedName>
    <definedName name="totalg" localSheetId="5">'PART3'!#REF!</definedName>
    <definedName name="totalg" localSheetId="6">'PART4'!$C$80</definedName>
    <definedName name="totalg" localSheetId="7">'Part5'!$C$54</definedName>
    <definedName name="totalg" localSheetId="1">'Tie Out'!$B$19</definedName>
    <definedName name="totalg">'PART2'!#REF!</definedName>
    <definedName name="totalhu">#REF!</definedName>
    <definedName name="totalm" localSheetId="0">#REF!</definedName>
    <definedName name="totalm" localSheetId="2">#REF!</definedName>
    <definedName name="totalm" localSheetId="4">'PART2'!$C$51</definedName>
    <definedName name="totalm" localSheetId="5">'PART3'!$C$31</definedName>
    <definedName name="totalm" localSheetId="6">'PART4'!$C$79</definedName>
    <definedName name="totalm" localSheetId="7">'Part5'!$C$53</definedName>
    <definedName name="totalm" localSheetId="8">'PART6'!$C$206</definedName>
    <definedName name="totalm" localSheetId="1">#REF!</definedName>
    <definedName name="totalm">'PART1'!$C$185</definedName>
    <definedName name="totalm1" localSheetId="0">#REF!</definedName>
    <definedName name="totalm1" localSheetId="2">#REF!</definedName>
    <definedName name="totalm1" localSheetId="4">'PART2'!$C$65</definedName>
    <definedName name="totalm1" localSheetId="5">'PART3'!$C$52</definedName>
    <definedName name="totalm1" localSheetId="6">'PART4'!$C$91</definedName>
    <definedName name="totalm1" localSheetId="7">'Part5'!$C$64</definedName>
    <definedName name="totalm1" localSheetId="1">#REF!</definedName>
    <definedName name="totalm1">'PART1'!$C$203</definedName>
    <definedName name="totalnu">#REF!</definedName>
    <definedName name="totalo" localSheetId="0">#REF!</definedName>
    <definedName name="totalo" localSheetId="2">#REF!</definedName>
    <definedName name="totalo" localSheetId="4">'PART2'!$I$93</definedName>
    <definedName name="totalo" localSheetId="5">'PART3'!$I$62</definedName>
    <definedName name="totalo" localSheetId="6">'PART4'!$I$166</definedName>
    <definedName name="totalo" localSheetId="7">'Part5'!$I$101</definedName>
    <definedName name="totalo" localSheetId="8">'PART6'!$I$411</definedName>
    <definedName name="totalo" localSheetId="1">#REF!</definedName>
    <definedName name="totalo">'PART1'!$I$369</definedName>
    <definedName name="totalo1" localSheetId="0">#REF!</definedName>
    <definedName name="totalo1" localSheetId="2">#REF!</definedName>
    <definedName name="totalo1" localSheetId="4">'PART2'!#REF!</definedName>
    <definedName name="totalo1" localSheetId="5">'PART3'!$I$75</definedName>
    <definedName name="totalo1" localSheetId="6">'PART4'!$I$178</definedName>
    <definedName name="totalo1" localSheetId="7">'Part5'!$I$113</definedName>
    <definedName name="totalo1" localSheetId="1">#REF!</definedName>
    <definedName name="totalo1">'PART1'!$I$378</definedName>
    <definedName name="totalr" localSheetId="2">'GRADRESP'!$F$9</definedName>
    <definedName name="totalr" localSheetId="1">'Tie Out'!$E$19</definedName>
    <definedName name="totalr">#REF!</definedName>
    <definedName name="totalsc">#REF!</definedName>
    <definedName name="totalss">#REF!</definedName>
    <definedName name="totaluc">#REF!</definedName>
    <definedName name="totalw" localSheetId="0">#REF!</definedName>
    <definedName name="totalw" localSheetId="2">#REF!</definedName>
    <definedName name="totalw" localSheetId="4">'PART2'!$C$93</definedName>
    <definedName name="totalw" localSheetId="5">'PART3'!$C$62</definedName>
    <definedName name="totalw" localSheetId="6">'PART4'!$C$166</definedName>
    <definedName name="totalw" localSheetId="7">'Part5'!$C$101</definedName>
    <definedName name="totalw" localSheetId="8">'PART6'!$C$411</definedName>
    <definedName name="totalw" localSheetId="1">#REF!</definedName>
    <definedName name="totalw">'PART1'!$C$369</definedName>
    <definedName name="totalw1" localSheetId="0">#REF!</definedName>
    <definedName name="totalw1" localSheetId="2">#REF!</definedName>
    <definedName name="totalw1" localSheetId="4">'PART2'!$C$108</definedName>
    <definedName name="totalw1" localSheetId="5">'PART3'!$C$75</definedName>
    <definedName name="totalw1" localSheetId="6">'PART4'!$C$178</definedName>
    <definedName name="totalw1" localSheetId="7">'Part5'!$C$113</definedName>
    <definedName name="totalw1" localSheetId="1">#REF!</definedName>
    <definedName name="totalw1">'PART1'!$C$378</definedName>
    <definedName name="TRFall" localSheetId="2">'GRADRESP'!$B$40</definedName>
    <definedName name="TRFall">#REF!</definedName>
    <definedName name="TRFres" localSheetId="2">'GRADRESP'!$F$40</definedName>
    <definedName name="TRFres">#REF!</definedName>
    <definedName name="yoyalm">#REF!</definedName>
  </definedNames>
  <calcPr fullCalcOnLoad="1"/>
</workbook>
</file>

<file path=xl/sharedStrings.xml><?xml version="1.0" encoding="utf-8"?>
<sst xmlns="http://schemas.openxmlformats.org/spreadsheetml/2006/main" count="2996" uniqueCount="504">
  <si>
    <t>Southern Illinois University Edwardsville</t>
  </si>
  <si>
    <t>Page I-1</t>
  </si>
  <si>
    <t>Survey of 2002 Baccalaureate Graduates -- One Year Out</t>
  </si>
  <si>
    <t>Survey Responses  --  Part I</t>
  </si>
  <si>
    <t>Employment Questions</t>
  </si>
  <si>
    <t>Percent</t>
  </si>
  <si>
    <t>Summary</t>
  </si>
  <si>
    <t>of Survey</t>
  </si>
  <si>
    <t>of Question</t>
  </si>
  <si>
    <t>Number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</si>
  <si>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</si>
  <si>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</si>
  <si>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</si>
  <si>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</si>
  <si>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</si>
  <si>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</si>
  <si>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</si>
  <si>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</si>
  <si>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</si>
  <si>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</si>
  <si>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 xml:space="preserve">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</si>
  <si>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</si>
  <si>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</si>
  <si>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</si>
  <si>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</si>
  <si>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</si>
  <si>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</si>
  <si>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</si>
  <si>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</si>
  <si>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</si>
  <si>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</si>
  <si>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</si>
  <si>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</si>
  <si>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</si>
  <si>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</si>
  <si>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</si>
  <si>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</si>
  <si>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</si>
  <si>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</si>
  <si>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</si>
  <si>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</si>
  <si>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</si>
  <si>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</si>
  <si>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</si>
  <si>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</si>
  <si>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</si>
  <si>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</si>
  <si>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</si>
  <si>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</si>
  <si>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</si>
  <si>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</si>
  <si>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</si>
  <si>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</si>
  <si>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</si>
  <si>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</si>
  <si>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</si>
  <si>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</si>
  <si>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</si>
  <si>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</si>
  <si>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</si>
  <si>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Annual Earned Income in Current Job Before Taxes</t>
  </si>
  <si>
    <t xml:space="preserve">    Employed Full-Time *</t>
  </si>
  <si>
    <t xml:space="preserve">    (N=413, Mean=$31,649)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</si>
  <si>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</si>
  <si>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</si>
  <si>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</si>
  <si>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</si>
  <si>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</si>
  <si>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</si>
  <si>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</si>
  <si>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</si>
  <si>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</si>
  <si>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(N=88, Mean=$12,705)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</si>
  <si>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</si>
  <si>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</si>
  <si>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</si>
  <si>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</si>
  <si>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</si>
  <si>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</si>
  <si>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</si>
  <si>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</si>
  <si>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</si>
  <si>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</si>
  <si>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</si>
  <si>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</si>
  <si>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</si>
  <si>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</si>
  <si>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</si>
  <si>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</si>
  <si>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</si>
  <si>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</si>
  <si>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</si>
  <si>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</si>
  <si>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</si>
  <si>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</si>
  <si>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</si>
  <si>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</si>
  <si>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</si>
  <si>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</si>
  <si>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</si>
  <si>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</si>
  <si>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</si>
  <si>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</si>
  <si>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</si>
  <si>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</si>
  <si>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</si>
  <si>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</si>
  <si>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</si>
  <si>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</si>
  <si>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</si>
  <si>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</si>
  <si>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</si>
  <si>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</si>
  <si>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</si>
  <si>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</si>
  <si>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</si>
  <si>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</si>
  <si>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</si>
  <si>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</si>
  <si>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</si>
  <si>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</si>
  <si>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</si>
  <si>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>continued</t>
  </si>
  <si>
    <t>Page I-4</t>
  </si>
  <si>
    <t>9a.</t>
  </si>
  <si>
    <t>continuation of Primary Occupation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</si>
  <si>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</si>
  <si>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</si>
  <si>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</si>
  <si>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</si>
  <si>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</si>
  <si>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</si>
  <si>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</si>
  <si>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</si>
  <si>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</si>
  <si>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</si>
  <si>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</si>
  <si>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</si>
  <si>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</si>
  <si>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</si>
  <si>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</si>
  <si>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</si>
  <si>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</si>
  <si>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</si>
  <si>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</si>
  <si>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</si>
  <si>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</si>
  <si>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</si>
  <si>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</si>
  <si>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</si>
  <si>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</si>
  <si>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</si>
  <si>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</si>
  <si>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Male</t>
  </si>
  <si>
    <t>Female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</si>
  <si>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</si>
  <si>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</si>
  <si>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</si>
  <si>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</si>
  <si>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</si>
  <si>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</si>
  <si>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</si>
  <si>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 xml:space="preserve">    Non-Profit (Non-Governmental)</t>
  </si>
  <si>
    <t xml:space="preserve">  Very Satisfied</t>
  </si>
  <si>
    <t xml:space="preserve">  Satisfied</t>
  </si>
  <si>
    <t xml:space="preserve">  Somewhat Satisfied</t>
  </si>
  <si>
    <t xml:space="preserve">  Somewhat Dissatisfied</t>
  </si>
  <si>
    <t xml:space="preserve">  Dissatisfied</t>
  </si>
  <si>
    <t xml:space="preserve">  Very Dissatisfied</t>
  </si>
  <si>
    <t>Page I-6</t>
  </si>
  <si>
    <t xml:space="preserve">       (N =129 , Mean = $38,610)</t>
  </si>
  <si>
    <t xml:space="preserve">       (N =284 , Mean = $28,487)</t>
  </si>
  <si>
    <t xml:space="preserve">       (N =28 , Mean = $11,571)</t>
  </si>
  <si>
    <t xml:space="preserve">       (N =60, Mean = $13,235)</t>
  </si>
  <si>
    <t>Very Well</t>
  </si>
  <si>
    <t>Well</t>
  </si>
  <si>
    <t>Adequately</t>
  </si>
  <si>
    <t>Inadequately</t>
  </si>
  <si>
    <t>Poorly</t>
  </si>
  <si>
    <t>Very Poorly</t>
  </si>
  <si>
    <t>No Response</t>
  </si>
  <si>
    <t>*   The "N" is the number responding to Question 7 in each category.</t>
  </si>
  <si>
    <t>Page I-7</t>
  </si>
  <si>
    <t xml:space="preserve">    Entertainment,Performers,Sports,&amp; Related</t>
  </si>
  <si>
    <t>Page I-8</t>
  </si>
  <si>
    <t>White, Non-Hispanic</t>
  </si>
  <si>
    <t>Black, Non-Hispanic</t>
  </si>
  <si>
    <t>Other *</t>
  </si>
  <si>
    <t>Race/Ethnic Detail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</si>
  <si>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</si>
  <si>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</si>
  <si>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</si>
  <si>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</si>
  <si>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 xml:space="preserve">    Employed Full-Time **</t>
  </si>
  <si>
    <t xml:space="preserve">       (N =380, Mean = $31,833)</t>
  </si>
  <si>
    <t xml:space="preserve">       (N =23, Mean = $30,129)</t>
  </si>
  <si>
    <t xml:space="preserve">       (N =10, Mean = $28,174)</t>
  </si>
  <si>
    <t xml:space="preserve">    Employed Part-Time **</t>
  </si>
  <si>
    <t xml:space="preserve">       (N =80 , Mean = $12,708)</t>
  </si>
  <si>
    <t xml:space="preserve">       (N =7, Mean = $13,213)</t>
  </si>
  <si>
    <t xml:space="preserve">       (N =1, Mean = $9,000)</t>
  </si>
  <si>
    <t xml:space="preserve">    Health:  Therapists</t>
  </si>
  <si>
    <t>*    "Other" includes American Indian/Alaskan Native, Asian/Pacific Islander, Hispanic, and Non-Resident Alien.</t>
  </si>
  <si>
    <t>**    The "N" is the number responding to Question 7 in each category.</t>
  </si>
  <si>
    <t>Page I-11</t>
  </si>
  <si>
    <t>Continuation of Primary Occupation</t>
  </si>
  <si>
    <t>*     "Other" includes American Indian/Alaskan Native, Asian/Pacific Islander, Hispanic, and Non-Resident Alien.</t>
  </si>
  <si>
    <t>Page I-12</t>
  </si>
  <si>
    <t>6/16/2004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</si>
  <si>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</si>
  <si>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</si>
  <si>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</si>
  <si>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</si>
  <si>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</si>
  <si>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</si>
  <si>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</si>
  <si>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</si>
  <si>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</si>
  <si>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</si>
  <si>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</si>
  <si>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</si>
  <si>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</si>
  <si>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</si>
  <si>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</si>
  <si>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</si>
  <si>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</si>
  <si>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</si>
  <si>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</si>
  <si>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</si>
  <si>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</si>
  <si>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</si>
  <si>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</si>
  <si>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</si>
  <si>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</si>
  <si>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</si>
  <si>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Page II-2</t>
  </si>
  <si>
    <t>Enrolled in College or University</t>
  </si>
  <si>
    <t>Since Degree?</t>
  </si>
  <si>
    <t xml:space="preserve">    Prof. Master's of Ed Specialist</t>
  </si>
  <si>
    <t>For Additional Degree</t>
  </si>
  <si>
    <t>Page II-3</t>
  </si>
  <si>
    <t xml:space="preserve">10. </t>
  </si>
  <si>
    <t xml:space="preserve">  Yes, Full Time</t>
  </si>
  <si>
    <t xml:space="preserve">  Yes, Part Time</t>
  </si>
  <si>
    <t xml:space="preserve">  No</t>
  </si>
  <si>
    <t>Pursuing or Completed Another Degree?</t>
  </si>
  <si>
    <t>Total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</si>
  <si>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</si>
  <si>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</si>
  <si>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</si>
  <si>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</si>
  <si>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</si>
  <si>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</si>
  <si>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</si>
  <si>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</si>
  <si>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</si>
  <si>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</si>
  <si>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</si>
  <si>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</si>
  <si>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</si>
  <si>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</si>
  <si>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</si>
  <si>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III-2</t>
  </si>
  <si>
    <t xml:space="preserve">Present Attitude Towards your </t>
  </si>
  <si>
    <t>Race/Ethnicity Detail</t>
  </si>
  <si>
    <t>*  "Other" includes American Indian/Alaskan Native, Asian/Pacific Islander, Hispanic, and Non-Resident Alien.</t>
  </si>
  <si>
    <t>6/17/2004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</si>
  <si>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</si>
  <si>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</si>
  <si>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</si>
  <si>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</si>
  <si>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</si>
  <si>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</si>
  <si>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</si>
  <si>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</si>
  <si>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</si>
  <si>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</si>
  <si>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</si>
  <si>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</si>
  <si>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</si>
  <si>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</si>
  <si>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</si>
  <si>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</si>
  <si>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</si>
  <si>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</si>
  <si>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</si>
  <si>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</si>
  <si>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</si>
  <si>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</si>
  <si>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</si>
  <si>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</si>
  <si>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</si>
  <si>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</si>
  <si>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</si>
  <si>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</si>
  <si>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</si>
  <si>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</si>
  <si>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</si>
  <si>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</si>
  <si>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</si>
  <si>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</si>
  <si>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</si>
  <si>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</si>
  <si>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</si>
  <si>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</si>
  <si>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</si>
  <si>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IV-3</t>
  </si>
  <si>
    <t>Page IV-4</t>
  </si>
  <si>
    <t>In Major, Student was Expected to Work Cooperatively</t>
  </si>
  <si>
    <t>Page IV-5</t>
  </si>
  <si>
    <t>6/23/2004</t>
  </si>
  <si>
    <t xml:space="preserve">Southern Illinois University Edwardsville   </t>
  </si>
  <si>
    <t>Page V-1</t>
  </si>
  <si>
    <t xml:space="preserve">Survey of 2002 Baccalaureate Graduates -- One Year Out    </t>
  </si>
  <si>
    <t xml:space="preserve">Survey Responses  --  Part V   </t>
  </si>
  <si>
    <t>Program Quality Questions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</si>
  <si>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</si>
  <si>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</si>
  <si>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</si>
  <si>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</si>
  <si>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</si>
  <si>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</si>
  <si>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</si>
  <si>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</si>
  <si>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</si>
  <si>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</si>
  <si>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</si>
  <si>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</si>
  <si>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</si>
  <si>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</si>
  <si>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</si>
  <si>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</si>
  <si>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</si>
  <si>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 xml:space="preserve">Southern Illinois University Edwardsville    </t>
  </si>
  <si>
    <t>Page V-2</t>
  </si>
  <si>
    <t xml:space="preserve">Survey Responses  --  Part V    </t>
  </si>
  <si>
    <t>Page V-3</t>
  </si>
  <si>
    <t xml:space="preserve">Southern Illinois University at Edwardsville    </t>
  </si>
  <si>
    <t>Page VI-1</t>
  </si>
  <si>
    <t xml:space="preserve">Survey Responses  --  Part VI    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</si>
  <si>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</si>
  <si>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</si>
  <si>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</si>
  <si>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</si>
  <si>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</si>
  <si>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</si>
  <si>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</si>
  <si>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</si>
  <si>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</si>
  <si>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</si>
  <si>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</si>
  <si>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</si>
  <si>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</si>
  <si>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Habits, </t>
  </si>
  <si>
    <t>Values, Appearances and Abilities</t>
  </si>
  <si>
    <t>D.</t>
  </si>
  <si>
    <t>Becoming a More Active Citizen</t>
  </si>
  <si>
    <t>E.</t>
  </si>
  <si>
    <t>Improving Quality of Life (aside from financial benefits)</t>
  </si>
  <si>
    <t>Page VI-2</t>
  </si>
  <si>
    <t>Summary, cont.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</si>
  <si>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</si>
  <si>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</si>
  <si>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</si>
  <si>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</si>
  <si>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</si>
  <si>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</si>
  <si>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</si>
  <si>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</si>
  <si>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</si>
  <si>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</si>
  <si>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</si>
  <si>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</si>
  <si>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Page VI-3</t>
  </si>
  <si>
    <t>L.</t>
  </si>
  <si>
    <t>Developing Knowledge of Scientific and Technological Developments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</si>
  <si>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</si>
  <si>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</si>
  <si>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</si>
  <si>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</si>
  <si>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</si>
  <si>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</si>
  <si>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</si>
  <si>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</si>
  <si>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</si>
  <si>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</si>
  <si>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</si>
  <si>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</si>
  <si>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</si>
  <si>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</si>
  <si>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</si>
  <si>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</si>
  <si>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Page VI-4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</si>
  <si>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</si>
  <si>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</si>
  <si>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</si>
  <si>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</si>
  <si>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</si>
  <si>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</si>
  <si>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</si>
  <si>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</si>
  <si>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</si>
  <si>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</si>
  <si>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</si>
  <si>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</si>
  <si>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</si>
  <si>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</si>
  <si>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Page VI-5</t>
  </si>
  <si>
    <t>Gender Detail, cont.</t>
  </si>
  <si>
    <t>Page VI-6</t>
  </si>
  <si>
    <t>Page VI-7</t>
  </si>
  <si>
    <t>Knowledge of Scientific and Technological Developments</t>
  </si>
  <si>
    <t>27.</t>
  </si>
  <si>
    <t>Page VI-8</t>
  </si>
  <si>
    <t>Page VI-9</t>
  </si>
  <si>
    <t>*  "Other" includes American Indian/Alaskan Native, Asian/Pacific Islander, and Hispanic.</t>
  </si>
  <si>
    <t>Page VI-10</t>
  </si>
  <si>
    <t>Race/Ethnic Detail, cont.</t>
  </si>
  <si>
    <t>Page VI-11</t>
  </si>
  <si>
    <t>Page VI-12</t>
  </si>
  <si>
    <t>Page VI-13</t>
  </si>
  <si>
    <t>6/24/2004</t>
  </si>
  <si>
    <t>Understanding People with Different Backgrounds, Habits, Values, etc.</t>
  </si>
  <si>
    <t>Extremely Helpful</t>
  </si>
  <si>
    <t>Very Helpful</t>
  </si>
  <si>
    <t>Moderately Helpful</t>
  </si>
  <si>
    <t>Slightly Helpful</t>
  </si>
  <si>
    <t>Not Helpful</t>
  </si>
  <si>
    <t>Mod to Very</t>
  </si>
  <si>
    <t>Are or Have Been Involved</t>
  </si>
  <si>
    <t>Listing of Spreadsheets in this Workbook.</t>
  </si>
  <si>
    <t>Tie</t>
  </si>
  <si>
    <t>Survey Population and Respondents</t>
  </si>
  <si>
    <t>GradResp</t>
  </si>
  <si>
    <t>Comparison of All Graduates to Survey Respondents</t>
  </si>
  <si>
    <t>Part 1</t>
  </si>
  <si>
    <t>Part 2</t>
  </si>
  <si>
    <t>Part 3</t>
  </si>
  <si>
    <t>Part 4</t>
  </si>
  <si>
    <t>Part 5</t>
  </si>
  <si>
    <t>Part 6</t>
  </si>
  <si>
    <t>2002 Baccalaureate Degrees</t>
  </si>
  <si>
    <t xml:space="preserve">     Less persons who received 2 baccalaureate degrees</t>
  </si>
  <si>
    <t>2001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</si>
  <si>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</si>
  <si>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</si>
  <si>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</si>
  <si>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</si>
  <si>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</si>
  <si>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</si>
  <si>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</si>
  <si>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</si>
  <si>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 xml:space="preserve">        All Baccalaureate</t>
  </si>
  <si>
    <t>One Year Out</t>
  </si>
  <si>
    <t xml:space="preserve">               Graduates</t>
  </si>
  <si>
    <t xml:space="preserve">  Survey Respondents</t>
  </si>
  <si>
    <t>Missing Data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</si>
  <si>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</si>
  <si>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</si>
  <si>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</si>
  <si>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</si>
  <si>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</si>
  <si>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</si>
  <si>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</si>
  <si>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60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</si>
  <si>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</si>
  <si>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</si>
  <si>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</si>
  <si>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</si>
  <si>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</si>
  <si>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</si>
  <si>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</si>
  <si>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2002</t>
  </si>
  <si>
    <t>Graduated Summer 2002</t>
  </si>
  <si>
    <t>Graduated Fall 2002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</si>
  <si>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</si>
  <si>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</si>
  <si>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</si>
  <si>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</si>
  <si>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</si>
  <si>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</si>
  <si>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</si>
  <si>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</si>
  <si>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</si>
  <si>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</si>
  <si>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</si>
  <si>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</si>
  <si>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</si>
  <si>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</si>
  <si>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</si>
  <si>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</si>
  <si>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</si>
  <si>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</si>
  <si>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</si>
  <si>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</si>
  <si>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</si>
  <si>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</si>
  <si>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</si>
  <si>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</si>
  <si>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</si>
  <si>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</si>
  <si>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</si>
  <si>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</si>
  <si>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6/15/2004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</si>
</sst>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  <numFmt numFmtId="184" formatCode="0.0000"/>
    <numFmt numFmtId="185" formatCode="&quot;$&quot;##,###"/>
  </numFmts>
  <fonts count="4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b/>
      <sz val="12"/>
      <name val="Arial"/>
      <family val="2"/>
    </font>
    <font>
      <sz val="12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u val="single"/>
      <sz val="8"/>
      <name val="Arial"/>
      <family val="2"/>
    </font>
    <font>
      <sz val="5.75"/>
      <name val="Arial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10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/>
      <protection locked="0"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0" fillId="0" borderId="0">
      <alignment/>
      <protection/>
    </xf>
    <xf numFmtId="175" fontId="8" fillId="0" borderId="0">
      <alignment/>
      <protection locked="0"/>
    </xf>
    <xf numFmtId="9" fontId="0" fillId="0" borderId="0" applyFont="0" applyFill="0" applyBorder="0" applyAlignment="0" applyProtection="0"/>
    <xf numFmtId="173" fontId="8" fillId="0" borderId="0">
      <alignment/>
      <protection locked="0"/>
    </xf>
    <xf numFmtId="0" fontId="9" fillId="0" borderId="0">
      <alignment/>
      <protection locked="0"/>
    </xf>
    <xf numFmtId="0" fontId="10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2" fillId="0" borderId="1" xfId="36" applyFont="1" applyBorder="1">
      <alignment/>
      <protection locked="0"/>
    </xf>
    <xf numFmtId="0" fontId="13" fillId="0" borderId="2" xfId="25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13" fillId="0" borderId="3" xfId="25" applyFont="1" applyBorder="1" applyAlignment="1">
      <alignment horizontal="right"/>
      <protection locked="0"/>
    </xf>
    <xf numFmtId="0" fontId="13" fillId="0" borderId="0" xfId="25" applyFont="1">
      <alignment/>
      <protection locked="0"/>
    </xf>
    <xf numFmtId="0" fontId="12" fillId="0" borderId="4" xfId="36" applyFont="1" applyBorder="1">
      <alignment/>
      <protection locked="0"/>
    </xf>
    <xf numFmtId="0" fontId="13" fillId="0" borderId="0" xfId="25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13" fillId="0" borderId="5" xfId="25" applyFont="1" applyBorder="1">
      <alignment/>
      <protection locked="0"/>
    </xf>
    <xf numFmtId="0" fontId="14" fillId="0" borderId="4" xfId="25" applyFont="1" applyBorder="1">
      <alignment/>
      <protection locked="0"/>
    </xf>
    <xf numFmtId="0" fontId="13" fillId="0" borderId="6" xfId="25" applyFont="1" applyBorder="1">
      <alignment/>
      <protection locked="0"/>
    </xf>
    <xf numFmtId="0" fontId="13" fillId="0" borderId="7" xfId="25" applyFont="1" applyBorder="1">
      <alignment/>
      <protection locked="0"/>
    </xf>
    <xf numFmtId="0" fontId="13" fillId="0" borderId="1" xfId="25" applyFont="1" applyBorder="1">
      <alignment/>
      <protection locked="0"/>
    </xf>
    <xf numFmtId="0" fontId="13" fillId="0" borderId="3" xfId="25" applyFont="1" applyBorder="1">
      <alignment/>
      <protection locked="0"/>
    </xf>
    <xf numFmtId="0" fontId="13" fillId="0" borderId="1" xfId="15" applyFont="1" applyBorder="1">
      <alignment horizontal="right"/>
      <protection locked="0"/>
    </xf>
    <xf numFmtId="0" fontId="13" fillId="0" borderId="2" xfId="15" applyFont="1" applyBorder="1">
      <alignment horizontal="right"/>
      <protection locked="0"/>
    </xf>
    <xf numFmtId="0" fontId="13" fillId="0" borderId="3" xfId="15" applyFont="1" applyBorder="1">
      <alignment horizontal="right"/>
      <protection locked="0"/>
    </xf>
    <xf numFmtId="0" fontId="13" fillId="0" borderId="4" xfId="25" applyFont="1" applyBorder="1">
      <alignment/>
      <protection locked="0"/>
    </xf>
    <xf numFmtId="0" fontId="12" fillId="0" borderId="4" xfId="37" applyFont="1" applyBorder="1" applyAlignment="1">
      <alignment/>
    </xf>
    <xf numFmtId="0" fontId="13" fillId="0" borderId="4" xfId="15" applyFont="1" applyBorder="1">
      <alignment horizontal="right"/>
      <protection locked="0"/>
    </xf>
    <xf numFmtId="0" fontId="13" fillId="0" borderId="0" xfId="15" applyFont="1" applyBorder="1">
      <alignment horizontal="right"/>
      <protection locked="0"/>
    </xf>
    <xf numFmtId="0" fontId="13" fillId="0" borderId="5" xfId="15" applyFont="1" applyBorder="1">
      <alignment horizontal="right"/>
      <protection locked="0"/>
    </xf>
    <xf numFmtId="0" fontId="13" fillId="0" borderId="8" xfId="25" applyFont="1" applyBorder="1">
      <alignment/>
      <protection locked="0"/>
    </xf>
    <xf numFmtId="0" fontId="13" fillId="0" borderId="8" xfId="16" applyFont="1" applyBorder="1">
      <alignment horizontal="right"/>
      <protection locked="0"/>
    </xf>
    <xf numFmtId="0" fontId="13" fillId="0" borderId="6" xfId="16" applyFont="1" applyBorder="1">
      <alignment horizontal="right"/>
      <protection locked="0"/>
    </xf>
    <xf numFmtId="0" fontId="13" fillId="0" borderId="7" xfId="16" applyFont="1" applyBorder="1">
      <alignment horizontal="right"/>
      <protection locked="0"/>
    </xf>
    <xf numFmtId="173" fontId="13" fillId="0" borderId="6" xfId="35" applyFont="1" applyBorder="1">
      <alignment/>
      <protection locked="0"/>
    </xf>
    <xf numFmtId="173" fontId="13" fillId="0" borderId="0" xfId="35" applyFont="1" applyBorder="1">
      <alignment/>
      <protection locked="0"/>
    </xf>
    <xf numFmtId="173" fontId="13" fillId="0" borderId="5" xfId="35" applyFont="1" applyBorder="1">
      <alignment/>
      <protection locked="0"/>
    </xf>
    <xf numFmtId="173" fontId="13" fillId="0" borderId="7" xfId="35" applyFont="1" applyBorder="1" applyAlignment="1">
      <alignment horizontal="right"/>
      <protection locked="0"/>
    </xf>
    <xf numFmtId="173" fontId="13" fillId="0" borderId="5" xfId="35" applyFont="1" applyBorder="1" applyAlignment="1">
      <alignment horizontal="right"/>
      <protection locked="0"/>
    </xf>
    <xf numFmtId="173" fontId="13" fillId="0" borderId="2" xfId="35" applyFont="1" applyBorder="1">
      <alignment/>
      <protection locked="0"/>
    </xf>
    <xf numFmtId="173" fontId="13" fillId="0" borderId="3" xfId="35" applyFont="1" applyBorder="1" applyAlignment="1">
      <alignment horizontal="right"/>
      <protection locked="0"/>
    </xf>
    <xf numFmtId="173" fontId="13" fillId="0" borderId="7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13" fillId="0" borderId="2" xfId="25" applyNumberFormat="1" applyFont="1" applyBorder="1">
      <alignment/>
      <protection locked="0"/>
    </xf>
    <xf numFmtId="0" fontId="13" fillId="0" borderId="0" xfId="25" applyFont="1" applyFill="1" applyBorder="1">
      <alignment/>
      <protection locked="0"/>
    </xf>
    <xf numFmtId="0" fontId="13" fillId="0" borderId="0" xfId="25" applyFont="1" applyFill="1" applyBorder="1" applyAlignment="1">
      <alignment horizontal="left"/>
      <protection locked="0"/>
    </xf>
    <xf numFmtId="0" fontId="13" fillId="0" borderId="4" xfId="25" applyFont="1" applyFill="1" applyBorder="1">
      <alignment/>
      <protection locked="0"/>
    </xf>
    <xf numFmtId="0" fontId="13" fillId="0" borderId="6" xfId="25" applyFont="1" applyFill="1" applyBorder="1" applyAlignment="1">
      <alignment horizontal="left"/>
      <protection locked="0"/>
    </xf>
    <xf numFmtId="173" fontId="13" fillId="0" borderId="7" xfId="35" applyFont="1" applyBorder="1" applyAlignment="1" quotePrefix="1">
      <alignment horizontal="right"/>
      <protection locked="0"/>
    </xf>
    <xf numFmtId="0" fontId="13" fillId="0" borderId="2" xfId="25" applyFont="1" applyBorder="1" applyAlignment="1">
      <alignment horizontal="left"/>
      <protection locked="0"/>
    </xf>
    <xf numFmtId="173" fontId="13" fillId="0" borderId="3" xfId="25" applyNumberFormat="1" applyFont="1" applyBorder="1">
      <alignment/>
      <protection locked="0"/>
    </xf>
    <xf numFmtId="0" fontId="13" fillId="0" borderId="0" xfId="25" applyFont="1" applyBorder="1" applyAlignment="1">
      <alignment horizontal="left"/>
      <protection locked="0"/>
    </xf>
    <xf numFmtId="0" fontId="13" fillId="0" borderId="5" xfId="25" applyFont="1" applyBorder="1" applyAlignment="1">
      <alignment horizontal="left"/>
      <protection locked="0"/>
    </xf>
    <xf numFmtId="0" fontId="13" fillId="0" borderId="8" xfId="25" applyFont="1" applyFill="1" applyBorder="1">
      <alignment/>
      <protection locked="0"/>
    </xf>
    <xf numFmtId="0" fontId="13" fillId="0" borderId="6" xfId="25" applyFont="1" applyBorder="1" applyAlignment="1">
      <alignment horizontal="left"/>
      <protection locked="0"/>
    </xf>
    <xf numFmtId="173" fontId="13" fillId="0" borderId="7" xfId="35" applyFont="1" applyFill="1" applyBorder="1" applyAlignment="1" quotePrefix="1">
      <alignment horizontal="right"/>
      <protection locked="0"/>
    </xf>
    <xf numFmtId="173" fontId="13" fillId="0" borderId="0" xfId="25" applyNumberFormat="1" applyFont="1" applyBorder="1">
      <alignment/>
      <protection locked="0"/>
    </xf>
    <xf numFmtId="173" fontId="13" fillId="0" borderId="5" xfId="25" applyNumberFormat="1" applyFont="1" applyBorder="1">
      <alignment/>
      <protection locked="0"/>
    </xf>
    <xf numFmtId="0" fontId="13" fillId="0" borderId="4" xfId="25" applyFont="1" applyBorder="1" applyAlignment="1">
      <alignment horizontal="left"/>
      <protection locked="0"/>
    </xf>
    <xf numFmtId="173" fontId="13" fillId="0" borderId="4" xfId="25" applyNumberFormat="1" applyFont="1" applyBorder="1">
      <alignment/>
      <protection locked="0"/>
    </xf>
    <xf numFmtId="0" fontId="13" fillId="0" borderId="1" xfId="25" applyFont="1" applyBorder="1" quotePrefix="1">
      <alignment/>
      <protection locked="0"/>
    </xf>
    <xf numFmtId="0" fontId="13" fillId="0" borderId="3" xfId="25" applyFont="1" applyBorder="1" applyAlignment="1">
      <alignment horizontal="left"/>
      <protection locked="0"/>
    </xf>
    <xf numFmtId="0" fontId="13" fillId="0" borderId="7" xfId="25" applyFont="1" applyBorder="1" applyAlignment="1">
      <alignment horizontal="left"/>
      <protection locked="0"/>
    </xf>
    <xf numFmtId="0" fontId="13" fillId="0" borderId="6" xfId="25" applyFont="1" applyBorder="1" applyAlignment="1">
      <alignment horizontal="center"/>
      <protection locked="0"/>
    </xf>
    <xf numFmtId="0" fontId="14" fillId="0" borderId="8" xfId="25" applyFont="1" applyBorder="1">
      <alignment/>
      <protection locked="0"/>
    </xf>
    <xf numFmtId="0" fontId="12" fillId="0" borderId="6" xfId="36" applyFont="1" applyBorder="1">
      <alignment/>
      <protection locked="0"/>
    </xf>
    <xf numFmtId="173" fontId="13" fillId="0" borderId="6" xfId="25" applyNumberFormat="1" applyFont="1" applyBorder="1">
      <alignment/>
      <protection locked="0"/>
    </xf>
    <xf numFmtId="0" fontId="13" fillId="0" borderId="1" xfId="16" applyFont="1" applyBorder="1">
      <alignment horizontal="right"/>
      <protection locked="0"/>
    </xf>
    <xf numFmtId="0" fontId="13" fillId="0" borderId="2" xfId="16" applyFont="1" applyBorder="1">
      <alignment horizontal="right"/>
      <protection locked="0"/>
    </xf>
    <xf numFmtId="0" fontId="13" fillId="0" borderId="3" xfId="16" applyFont="1" applyBorder="1">
      <alignment horizontal="right"/>
      <protection locked="0"/>
    </xf>
    <xf numFmtId="0" fontId="13" fillId="0" borderId="4" xfId="25" applyFont="1" applyBorder="1" quotePrefix="1">
      <alignment/>
      <protection locked="0"/>
    </xf>
    <xf numFmtId="9" fontId="13" fillId="0" borderId="2" xfId="34" applyFont="1" applyBorder="1" applyAlignment="1">
      <alignment/>
    </xf>
    <xf numFmtId="9" fontId="13" fillId="0" borderId="3" xfId="34" applyFont="1" applyBorder="1" applyAlignment="1">
      <alignment/>
    </xf>
    <xf numFmtId="0" fontId="12" fillId="0" borderId="9" xfId="25" applyFont="1" applyBorder="1" applyAlignment="1">
      <alignment horizontal="centerContinuous"/>
      <protection locked="0"/>
    </xf>
    <xf numFmtId="173" fontId="16" fillId="0" borderId="10" xfId="25" applyNumberFormat="1" applyFont="1" applyBorder="1" applyAlignment="1">
      <alignment horizontal="centerContinuous"/>
      <protection locked="0"/>
    </xf>
    <xf numFmtId="0" fontId="16" fillId="0" borderId="10" xfId="25" applyFont="1" applyBorder="1" applyAlignment="1">
      <alignment horizontal="centerContinuous"/>
      <protection locked="0"/>
    </xf>
    <xf numFmtId="0" fontId="16" fillId="0" borderId="11" xfId="25" applyFont="1" applyBorder="1" applyAlignment="1">
      <alignment horizontal="centerContinuous"/>
      <protection locked="0"/>
    </xf>
    <xf numFmtId="0" fontId="16" fillId="0" borderId="0" xfId="25" applyFont="1" applyBorder="1" applyAlignment="1">
      <alignment horizontal="right"/>
      <protection locked="0"/>
    </xf>
    <xf numFmtId="0" fontId="13" fillId="0" borderId="0" xfId="25" applyFont="1" applyBorder="1" applyAlignment="1">
      <alignment horizontal="right"/>
      <protection locked="0"/>
    </xf>
    <xf numFmtId="0" fontId="16" fillId="0" borderId="4" xfId="25" applyFont="1" applyBorder="1" applyAlignment="1">
      <alignment horizontal="right"/>
      <protection locked="0"/>
    </xf>
    <xf numFmtId="0" fontId="13" fillId="0" borderId="5" xfId="25" applyFont="1" applyBorder="1" applyAlignment="1">
      <alignment horizontal="right"/>
      <protection locked="0"/>
    </xf>
    <xf numFmtId="0" fontId="12" fillId="0" borderId="4" xfId="25" applyFont="1" applyBorder="1">
      <alignment/>
      <protection locked="0"/>
    </xf>
    <xf numFmtId="0" fontId="13" fillId="0" borderId="6" xfId="25" applyFont="1" applyBorder="1" applyAlignment="1">
      <alignment horizontal="right"/>
      <protection locked="0"/>
    </xf>
    <xf numFmtId="0" fontId="13" fillId="0" borderId="8" xfId="25" applyFont="1" applyBorder="1" applyAlignment="1">
      <alignment horizontal="right"/>
      <protection locked="0"/>
    </xf>
    <xf numFmtId="0" fontId="13" fillId="0" borderId="7" xfId="25" applyFont="1" applyBorder="1" applyAlignment="1">
      <alignment horizontal="right"/>
      <protection locked="0"/>
    </xf>
    <xf numFmtId="173" fontId="13" fillId="0" borderId="6" xfId="25" applyNumberFormat="1" applyFont="1" applyBorder="1" applyAlignment="1">
      <alignment horizontal="right"/>
      <protection locked="0"/>
    </xf>
    <xf numFmtId="173" fontId="13" fillId="0" borderId="7" xfId="25" applyNumberFormat="1" applyFont="1" applyBorder="1" applyAlignment="1">
      <alignment horizontal="right"/>
      <protection locked="0"/>
    </xf>
    <xf numFmtId="173" fontId="13" fillId="0" borderId="2" xfId="35" applyFont="1" applyBorder="1" applyAlignment="1">
      <alignment horizontal="right"/>
      <protection locked="0"/>
    </xf>
    <xf numFmtId="173" fontId="13" fillId="0" borderId="7" xfId="25" applyNumberFormat="1" applyFont="1" applyBorder="1">
      <alignment/>
      <protection locked="0"/>
    </xf>
    <xf numFmtId="173" fontId="13" fillId="0" borderId="2" xfId="25" applyNumberFormat="1" applyFont="1" applyBorder="1" applyAlignment="1">
      <alignment horizontal="right"/>
      <protection locked="0"/>
    </xf>
    <xf numFmtId="173" fontId="13" fillId="0" borderId="6" xfId="35" applyFont="1" applyBorder="1" applyAlignment="1" quotePrefix="1">
      <alignment horizontal="right"/>
      <protection locked="0"/>
    </xf>
    <xf numFmtId="173" fontId="13" fillId="0" borderId="5" xfId="25" applyNumberFormat="1" applyFont="1" applyBorder="1" applyAlignment="1">
      <alignment horizontal="right"/>
      <protection locked="0"/>
    </xf>
    <xf numFmtId="0" fontId="13" fillId="0" borderId="9" xfId="25" applyFont="1" applyBorder="1">
      <alignment/>
      <protection locked="0"/>
    </xf>
    <xf numFmtId="0" fontId="13" fillId="0" borderId="10" xfId="25" applyFont="1" applyBorder="1" applyAlignment="1">
      <alignment horizontal="center"/>
      <protection locked="0"/>
    </xf>
    <xf numFmtId="0" fontId="13" fillId="0" borderId="10" xfId="25" applyFont="1" applyBorder="1">
      <alignment/>
      <protection locked="0"/>
    </xf>
    <xf numFmtId="173" fontId="13" fillId="0" borderId="10" xfId="35" applyFont="1" applyBorder="1">
      <alignment/>
      <protection locked="0"/>
    </xf>
    <xf numFmtId="173" fontId="13" fillId="0" borderId="11" xfId="35" applyFont="1" applyBorder="1">
      <alignment/>
      <protection locked="0"/>
    </xf>
    <xf numFmtId="173" fontId="13" fillId="0" borderId="0" xfId="35" applyFont="1" applyBorder="1" applyAlignment="1">
      <alignment horizontal="right"/>
      <protection locked="0"/>
    </xf>
    <xf numFmtId="173" fontId="13" fillId="0" borderId="0" xfId="35" applyFont="1">
      <alignment/>
      <protection locked="0"/>
    </xf>
    <xf numFmtId="0" fontId="12" fillId="0" borderId="6" xfId="25" applyFont="1" applyBorder="1" applyAlignment="1">
      <alignment horizontal="centerContinuous"/>
      <protection locked="0"/>
    </xf>
    <xf numFmtId="173" fontId="13" fillId="0" borderId="6" xfId="25" applyNumberFormat="1" applyFont="1" applyBorder="1" applyAlignment="1">
      <alignment horizontal="centerContinuous"/>
      <protection locked="0"/>
    </xf>
    <xf numFmtId="0" fontId="12" fillId="0" borderId="8" xfId="25" applyFont="1" applyBorder="1" applyAlignment="1">
      <alignment horizontal="centerContinuous"/>
      <protection locked="0"/>
    </xf>
    <xf numFmtId="0" fontId="13" fillId="0" borderId="10" xfId="25" applyFont="1" applyBorder="1" applyAlignment="1">
      <alignment horizontal="centerContinuous"/>
      <protection locked="0"/>
    </xf>
    <xf numFmtId="0" fontId="13" fillId="0" borderId="11" xfId="25" applyFont="1" applyBorder="1" applyAlignment="1">
      <alignment horizontal="centerContinuous"/>
      <protection locked="0"/>
    </xf>
    <xf numFmtId="0" fontId="13" fillId="0" borderId="4" xfId="25" applyFont="1" applyBorder="1" applyAlignment="1">
      <alignment horizontal="right"/>
      <protection locked="0"/>
    </xf>
    <xf numFmtId="0" fontId="16" fillId="0" borderId="5" xfId="25" applyFont="1" applyBorder="1">
      <alignment/>
      <protection locked="0"/>
    </xf>
    <xf numFmtId="173" fontId="13" fillId="0" borderId="10" xfId="25" applyNumberFormat="1" applyFont="1" applyBorder="1">
      <alignment/>
      <protection locked="0"/>
    </xf>
    <xf numFmtId="173" fontId="13" fillId="0" borderId="10" xfId="25" applyNumberFormat="1" applyFont="1" applyBorder="1" applyAlignment="1">
      <alignment horizontal="right"/>
      <protection locked="0"/>
    </xf>
    <xf numFmtId="173" fontId="13" fillId="0" borderId="11" xfId="25" applyNumberFormat="1" applyFont="1" applyBorder="1" applyAlignment="1">
      <alignment horizontal="right"/>
      <protection locked="0"/>
    </xf>
    <xf numFmtId="0" fontId="13" fillId="0" borderId="6" xfId="25" applyFont="1" applyBorder="1" applyAlignment="1">
      <alignment horizontal="centerContinuous"/>
      <protection locked="0"/>
    </xf>
    <xf numFmtId="0" fontId="13" fillId="0" borderId="5" xfId="25" applyFont="1" applyFill="1" applyBorder="1">
      <alignment/>
      <protection locked="0"/>
    </xf>
    <xf numFmtId="0" fontId="13" fillId="0" borderId="5" xfId="25" applyFont="1" applyFill="1" applyBorder="1" applyAlignment="1">
      <alignment horizontal="left"/>
      <protection locked="0"/>
    </xf>
    <xf numFmtId="0" fontId="13" fillId="0" borderId="7" xfId="25" applyFont="1" applyFill="1" applyBorder="1" applyAlignment="1">
      <alignment horizontal="left"/>
      <protection locked="0"/>
    </xf>
    <xf numFmtId="0" fontId="13" fillId="0" borderId="7" xfId="25" applyFont="1" applyBorder="1" applyAlignment="1">
      <alignment horizontal="centerContinuous"/>
      <protection locked="0"/>
    </xf>
    <xf numFmtId="173" fontId="13" fillId="0" borderId="0" xfId="25" applyNumberFormat="1" applyFont="1" applyBorder="1" applyAlignment="1">
      <alignment horizontal="right"/>
      <protection locked="0"/>
    </xf>
    <xf numFmtId="173" fontId="13" fillId="0" borderId="3" xfId="25" applyNumberFormat="1" applyFont="1" applyBorder="1" applyAlignment="1">
      <alignment horizontal="right"/>
      <protection locked="0"/>
    </xf>
    <xf numFmtId="0" fontId="13" fillId="0" borderId="0" xfId="25" applyFont="1" applyBorder="1" applyAlignment="1">
      <alignment horizontal="center"/>
      <protection locked="0"/>
    </xf>
    <xf numFmtId="0" fontId="12" fillId="0" borderId="8" xfId="36" applyFont="1" applyBorder="1">
      <alignment/>
      <protection locked="0"/>
    </xf>
    <xf numFmtId="0" fontId="13" fillId="0" borderId="1" xfId="25" applyFont="1" applyBorder="1" applyAlignment="1">
      <alignment horizontal="right"/>
      <protection locked="0"/>
    </xf>
    <xf numFmtId="14" fontId="13" fillId="0" borderId="8" xfId="25" applyNumberFormat="1" applyFont="1" applyBorder="1" applyAlignment="1">
      <alignment horizontal="left"/>
      <protection locked="0"/>
    </xf>
    <xf numFmtId="14" fontId="13" fillId="0" borderId="6" xfId="25" applyNumberFormat="1" applyFont="1" applyBorder="1" applyAlignment="1">
      <alignment horizontal="left"/>
      <protection locked="0"/>
    </xf>
    <xf numFmtId="14" fontId="13" fillId="0" borderId="8" xfId="25" applyNumberFormat="1" applyFont="1" applyBorder="1" applyAlignment="1" quotePrefix="1">
      <alignment horizontal="left"/>
      <protection locked="0"/>
    </xf>
    <xf numFmtId="0" fontId="12" fillId="0" borderId="1" xfId="26" applyNumberFormat="1" applyFont="1" applyBorder="1" applyProtection="1">
      <alignment/>
      <protection locked="0"/>
    </xf>
    <xf numFmtId="0" fontId="13" fillId="0" borderId="2" xfId="26" applyFont="1" applyBorder="1">
      <alignment/>
    </xf>
    <xf numFmtId="0" fontId="12" fillId="0" borderId="2" xfId="26" applyNumberFormat="1" applyFont="1" applyBorder="1" applyProtection="1">
      <alignment/>
      <protection locked="0"/>
    </xf>
    <xf numFmtId="0" fontId="13" fillId="0" borderId="3" xfId="26" applyFont="1" applyBorder="1" applyAlignment="1">
      <alignment horizontal="right"/>
    </xf>
    <xf numFmtId="0" fontId="12" fillId="0" borderId="0" xfId="26" applyFont="1">
      <alignment/>
    </xf>
    <xf numFmtId="0" fontId="12" fillId="0" borderId="4" xfId="26" applyNumberFormat="1" applyFont="1" applyBorder="1" applyProtection="1">
      <alignment/>
      <protection locked="0"/>
    </xf>
    <xf numFmtId="0" fontId="13" fillId="0" borderId="0" xfId="26" applyFont="1" applyBorder="1">
      <alignment/>
    </xf>
    <xf numFmtId="0" fontId="12" fillId="0" borderId="0" xfId="26" applyNumberFormat="1" applyFont="1" applyBorder="1" applyProtection="1">
      <alignment/>
      <protection locked="0"/>
    </xf>
    <xf numFmtId="0" fontId="12" fillId="0" borderId="5" xfId="26" applyFont="1" applyBorder="1">
      <alignment/>
    </xf>
    <xf numFmtId="0" fontId="14" fillId="0" borderId="8" xfId="26" applyFont="1" applyBorder="1">
      <alignment/>
    </xf>
    <xf numFmtId="0" fontId="13" fillId="0" borderId="6" xfId="26" applyFont="1" applyBorder="1">
      <alignment/>
    </xf>
    <xf numFmtId="0" fontId="13" fillId="0" borderId="6" xfId="26" applyNumberFormat="1" applyFont="1" applyBorder="1" applyProtection="1">
      <alignment/>
      <protection locked="0"/>
    </xf>
    <xf numFmtId="0" fontId="13" fillId="0" borderId="6" xfId="26" applyFont="1" applyBorder="1" applyProtection="1">
      <alignment/>
      <protection locked="0"/>
    </xf>
    <xf numFmtId="0" fontId="13" fillId="0" borderId="7" xfId="26" applyNumberFormat="1" applyFont="1" applyBorder="1" applyAlignment="1" applyProtection="1">
      <alignment horizontal="right"/>
      <protection locked="0"/>
    </xf>
    <xf numFmtId="0" fontId="13" fillId="0" borderId="0" xfId="26" applyNumberFormat="1" applyFont="1" applyProtection="1">
      <alignment/>
      <protection locked="0"/>
    </xf>
    <xf numFmtId="0" fontId="13" fillId="0" borderId="0" xfId="26" applyFont="1">
      <alignment/>
    </xf>
    <xf numFmtId="0" fontId="13" fillId="0" borderId="1" xfId="26" applyNumberFormat="1" applyFont="1" applyBorder="1" applyProtection="1">
      <alignment/>
      <protection locked="0"/>
    </xf>
    <xf numFmtId="0" fontId="13" fillId="0" borderId="2" xfId="26" applyNumberFormat="1" applyFont="1" applyBorder="1" applyAlignment="1" applyProtection="1">
      <alignment horizontal="right"/>
      <protection locked="0"/>
    </xf>
    <xf numFmtId="0" fontId="13" fillId="0" borderId="3" xfId="26" applyNumberFormat="1" applyFont="1" applyBorder="1" applyAlignment="1" applyProtection="1">
      <alignment horizontal="right"/>
      <protection locked="0"/>
    </xf>
    <xf numFmtId="0" fontId="13" fillId="0" borderId="0" xfId="26" applyNumberFormat="1" applyFont="1" applyAlignment="1" applyProtection="1">
      <alignment horizontal="right"/>
      <protection locked="0"/>
    </xf>
    <xf numFmtId="0" fontId="13" fillId="0" borderId="0" xfId="26" applyFont="1" applyProtection="1">
      <alignment/>
      <protection locked="0"/>
    </xf>
    <xf numFmtId="0" fontId="13" fillId="0" borderId="5" xfId="26" applyNumberFormat="1" applyFont="1" applyBorder="1" applyAlignment="1" applyProtection="1">
      <alignment horizontal="right"/>
      <protection locked="0"/>
    </xf>
    <xf numFmtId="0" fontId="16" fillId="0" borderId="4" xfId="26" applyFont="1" applyBorder="1">
      <alignment/>
    </xf>
    <xf numFmtId="0" fontId="13" fillId="0" borderId="4" xfId="26" applyFont="1" applyBorder="1">
      <alignment/>
    </xf>
    <xf numFmtId="0" fontId="13" fillId="0" borderId="0" xfId="26" applyNumberFormat="1" applyFont="1" applyBorder="1" applyAlignment="1" applyProtection="1">
      <alignment horizontal="right"/>
      <protection locked="0"/>
    </xf>
    <xf numFmtId="0" fontId="13" fillId="0" borderId="8" xfId="26" applyFont="1" applyBorder="1">
      <alignment/>
    </xf>
    <xf numFmtId="0" fontId="13" fillId="0" borderId="8" xfId="26" applyNumberFormat="1" applyFont="1" applyBorder="1" applyAlignment="1" applyProtection="1">
      <alignment horizontal="right"/>
      <protection locked="0"/>
    </xf>
    <xf numFmtId="0" fontId="13" fillId="0" borderId="6" xfId="26" applyNumberFormat="1" applyFont="1" applyBorder="1" applyAlignment="1" applyProtection="1">
      <alignment horizontal="right"/>
      <protection locked="0"/>
    </xf>
    <xf numFmtId="0" fontId="13" fillId="0" borderId="9" xfId="26" applyFont="1" applyBorder="1">
      <alignment/>
    </xf>
    <xf numFmtId="0" fontId="13" fillId="0" borderId="10" xfId="26" applyNumberFormat="1" applyFont="1" applyBorder="1" applyProtection="1">
      <alignment/>
      <protection locked="0"/>
    </xf>
    <xf numFmtId="0" fontId="13" fillId="0" borderId="9" xfId="26" applyNumberFormat="1" applyFont="1" applyBorder="1" applyProtection="1">
      <alignment/>
      <protection locked="0"/>
    </xf>
    <xf numFmtId="175" fontId="13" fillId="0" borderId="10" xfId="26" applyNumberFormat="1" applyFont="1" applyBorder="1" applyProtection="1">
      <alignment/>
      <protection locked="0"/>
    </xf>
    <xf numFmtId="175" fontId="13" fillId="0" borderId="11" xfId="26" applyNumberFormat="1" applyFont="1" applyBorder="1" applyProtection="1">
      <alignment/>
      <protection locked="0"/>
    </xf>
    <xf numFmtId="0" fontId="13" fillId="0" borderId="5" xfId="26" applyFont="1" applyBorder="1">
      <alignment/>
    </xf>
    <xf numFmtId="0" fontId="13" fillId="0" borderId="4" xfId="26" applyNumberFormat="1" applyFont="1" applyBorder="1" applyProtection="1">
      <alignment/>
      <protection locked="0"/>
    </xf>
    <xf numFmtId="0" fontId="13" fillId="0" borderId="0" xfId="26" applyNumberFormat="1" applyFont="1" applyBorder="1" applyAlignment="1" applyProtection="1">
      <alignment vertical="top" wrapText="1"/>
      <protection locked="0"/>
    </xf>
    <xf numFmtId="175" fontId="13" fillId="0" borderId="0" xfId="26" applyNumberFormat="1" applyFont="1" applyBorder="1" applyProtection="1">
      <alignment/>
      <protection locked="0"/>
    </xf>
    <xf numFmtId="0" fontId="13" fillId="0" borderId="5" xfId="26" applyNumberFormat="1" applyFont="1" applyBorder="1" applyAlignment="1" applyProtection="1">
      <alignment vertical="top" wrapText="1"/>
      <protection locked="0"/>
    </xf>
    <xf numFmtId="0" fontId="13" fillId="0" borderId="0" xfId="26" applyNumberFormat="1" applyFont="1" applyBorder="1" applyProtection="1">
      <alignment/>
      <protection locked="0"/>
    </xf>
    <xf numFmtId="175" fontId="13" fillId="0" borderId="5" xfId="26" applyNumberFormat="1" applyFont="1" applyBorder="1" applyProtection="1">
      <alignment/>
      <protection locked="0"/>
    </xf>
    <xf numFmtId="0" fontId="13" fillId="0" borderId="5" xfId="26" applyNumberFormat="1" applyFont="1" applyBorder="1" applyProtection="1">
      <alignment/>
      <protection locked="0"/>
    </xf>
    <xf numFmtId="0" fontId="13" fillId="0" borderId="8" xfId="26" applyNumberFormat="1" applyFont="1" applyBorder="1" applyProtection="1">
      <alignment/>
      <protection locked="0"/>
    </xf>
    <xf numFmtId="175" fontId="13" fillId="0" borderId="6" xfId="26" applyNumberFormat="1" applyFont="1" applyBorder="1" applyProtection="1">
      <alignment/>
      <protection locked="0"/>
    </xf>
    <xf numFmtId="175" fontId="13" fillId="0" borderId="0" xfId="26" applyNumberFormat="1" applyFont="1">
      <alignment/>
    </xf>
    <xf numFmtId="0" fontId="13" fillId="0" borderId="4" xfId="26" applyNumberFormat="1" applyFont="1" applyBorder="1" applyProtection="1" quotePrefix="1">
      <alignment/>
      <protection locked="0"/>
    </xf>
    <xf numFmtId="175" fontId="13" fillId="0" borderId="2" xfId="26" applyNumberFormat="1" applyFont="1" applyBorder="1" applyProtection="1">
      <alignment/>
      <protection locked="0"/>
    </xf>
    <xf numFmtId="0" fontId="13" fillId="0" borderId="3" xfId="26" applyFont="1" applyBorder="1">
      <alignment/>
    </xf>
    <xf numFmtId="175" fontId="13" fillId="0" borderId="6" xfId="26" applyNumberFormat="1" applyFont="1" applyBorder="1">
      <alignment/>
    </xf>
    <xf numFmtId="175" fontId="13" fillId="0" borderId="7" xfId="26" applyNumberFormat="1" applyFont="1" applyBorder="1">
      <alignment/>
    </xf>
    <xf numFmtId="0" fontId="16" fillId="0" borderId="6" xfId="26" applyFont="1" applyBorder="1" applyAlignment="1">
      <alignment vertical="top" wrapText="1"/>
    </xf>
    <xf numFmtId="0" fontId="13" fillId="0" borderId="7" xfId="26" applyFont="1" applyBorder="1">
      <alignment/>
    </xf>
    <xf numFmtId="0" fontId="13" fillId="0" borderId="0" xfId="26" applyFont="1" applyBorder="1" applyAlignment="1">
      <alignment horizontal="left"/>
    </xf>
    <xf numFmtId="0" fontId="13" fillId="0" borderId="0" xfId="26" applyFont="1" applyBorder="1" applyAlignment="1">
      <alignment/>
    </xf>
    <xf numFmtId="175" fontId="13" fillId="0" borderId="0" xfId="26" applyNumberFormat="1" applyFont="1" applyBorder="1">
      <alignment/>
    </xf>
    <xf numFmtId="175" fontId="13" fillId="0" borderId="5" xfId="26" applyNumberFormat="1" applyFont="1" applyBorder="1">
      <alignment/>
    </xf>
    <xf numFmtId="175" fontId="12" fillId="0" borderId="2" xfId="26" applyNumberFormat="1" applyFont="1" applyBorder="1" applyProtection="1">
      <alignment/>
      <protection locked="0"/>
    </xf>
    <xf numFmtId="0" fontId="13" fillId="0" borderId="1" xfId="26" applyFont="1" applyBorder="1">
      <alignment/>
    </xf>
    <xf numFmtId="0" fontId="12" fillId="0" borderId="1" xfId="26" applyFont="1" applyBorder="1" applyAlignment="1">
      <alignment horizontal="centerContinuous"/>
    </xf>
    <xf numFmtId="175" fontId="12" fillId="0" borderId="2" xfId="26" applyNumberFormat="1" applyFont="1" applyBorder="1" applyAlignment="1">
      <alignment horizontal="centerContinuous"/>
    </xf>
    <xf numFmtId="175" fontId="12" fillId="0" borderId="3" xfId="26" applyNumberFormat="1" applyFont="1" applyBorder="1" applyAlignment="1">
      <alignment horizontal="centerContinuous"/>
    </xf>
    <xf numFmtId="0" fontId="12" fillId="0" borderId="2" xfId="26" applyFont="1" applyBorder="1" applyAlignment="1">
      <alignment horizontal="centerContinuous"/>
    </xf>
    <xf numFmtId="0" fontId="12" fillId="0" borderId="3" xfId="26" applyFont="1" applyBorder="1" applyAlignment="1">
      <alignment horizontal="centerContinuous"/>
    </xf>
    <xf numFmtId="0" fontId="16" fillId="0" borderId="1" xfId="26" applyFont="1" applyBorder="1" applyAlignment="1">
      <alignment horizontal="right"/>
    </xf>
    <xf numFmtId="0" fontId="13" fillId="0" borderId="2" xfId="26" applyFont="1" applyBorder="1" applyAlignment="1">
      <alignment horizontal="right"/>
    </xf>
    <xf numFmtId="0" fontId="16" fillId="0" borderId="2" xfId="26" applyFont="1" applyBorder="1" applyAlignment="1">
      <alignment horizontal="right"/>
    </xf>
    <xf numFmtId="0" fontId="16" fillId="0" borderId="0" xfId="26" applyFont="1" applyBorder="1">
      <alignment/>
    </xf>
    <xf numFmtId="0" fontId="16" fillId="0" borderId="4" xfId="26" applyFont="1" applyBorder="1" applyAlignment="1">
      <alignment horizontal="right"/>
    </xf>
    <xf numFmtId="0" fontId="13" fillId="0" borderId="0" xfId="26" applyFont="1" applyBorder="1" applyAlignment="1">
      <alignment horizontal="right"/>
    </xf>
    <xf numFmtId="0" fontId="13" fillId="0" borderId="5" xfId="26" applyFont="1" applyBorder="1" applyAlignment="1">
      <alignment horizontal="right"/>
    </xf>
    <xf numFmtId="0" fontId="16" fillId="0" borderId="0" xfId="26" applyFont="1" applyBorder="1" applyAlignment="1">
      <alignment horizontal="right"/>
    </xf>
    <xf numFmtId="0" fontId="13" fillId="0" borderId="8" xfId="26" applyFont="1" applyBorder="1" applyAlignment="1">
      <alignment horizontal="right"/>
    </xf>
    <xf numFmtId="0" fontId="13" fillId="0" borderId="6" xfId="26" applyFont="1" applyBorder="1" applyAlignment="1">
      <alignment horizontal="right"/>
    </xf>
    <xf numFmtId="0" fontId="13" fillId="0" borderId="7" xfId="26" applyFont="1" applyBorder="1" applyAlignment="1">
      <alignment horizontal="right"/>
    </xf>
    <xf numFmtId="175" fontId="13" fillId="0" borderId="7" xfId="26" applyNumberFormat="1" applyFont="1" applyBorder="1" applyProtection="1">
      <alignment/>
      <protection locked="0"/>
    </xf>
    <xf numFmtId="175" fontId="13" fillId="0" borderId="3" xfId="26" applyNumberFormat="1" applyFont="1" applyBorder="1">
      <alignment/>
    </xf>
    <xf numFmtId="175" fontId="13" fillId="0" borderId="2" xfId="26" applyNumberFormat="1" applyFont="1" applyBorder="1">
      <alignment/>
    </xf>
    <xf numFmtId="0" fontId="16" fillId="0" borderId="11" xfId="26" applyFont="1" applyBorder="1" applyAlignment="1">
      <alignment vertical="top" wrapText="1"/>
    </xf>
    <xf numFmtId="0" fontId="13" fillId="0" borderId="10" xfId="26" applyFont="1" applyBorder="1">
      <alignment/>
    </xf>
    <xf numFmtId="0" fontId="13" fillId="0" borderId="11" xfId="26" applyFont="1" applyBorder="1">
      <alignment/>
    </xf>
    <xf numFmtId="0" fontId="13" fillId="0" borderId="5" xfId="26" applyFont="1" applyBorder="1" applyAlignment="1">
      <alignment horizontal="left"/>
    </xf>
    <xf numFmtId="175" fontId="13" fillId="0" borderId="0" xfId="26" applyNumberFormat="1" applyFont="1" applyProtection="1">
      <alignment/>
      <protection locked="0"/>
    </xf>
    <xf numFmtId="0" fontId="13" fillId="0" borderId="5" xfId="26" applyFont="1" applyBorder="1" applyAlignment="1">
      <alignment/>
    </xf>
    <xf numFmtId="175" fontId="13" fillId="0" borderId="0" xfId="26" applyNumberFormat="1" applyFont="1" applyAlignment="1" applyProtection="1">
      <alignment horizontal="right"/>
      <protection locked="0"/>
    </xf>
    <xf numFmtId="0" fontId="13" fillId="0" borderId="4" xfId="26" applyNumberFormat="1" applyFont="1" applyBorder="1">
      <alignment/>
    </xf>
    <xf numFmtId="175" fontId="13" fillId="0" borderId="8" xfId="26" applyNumberFormat="1" applyFont="1" applyBorder="1">
      <alignment/>
    </xf>
    <xf numFmtId="0" fontId="12" fillId="0" borderId="9" xfId="26" applyFont="1" applyBorder="1" applyAlignment="1">
      <alignment horizontal="centerContinuous"/>
    </xf>
    <xf numFmtId="175" fontId="12" fillId="0" borderId="10" xfId="26" applyNumberFormat="1" applyFont="1" applyBorder="1" applyAlignment="1">
      <alignment horizontal="centerContinuous"/>
    </xf>
    <xf numFmtId="175" fontId="12" fillId="0" borderId="11" xfId="26" applyNumberFormat="1" applyFont="1" applyBorder="1" applyAlignment="1">
      <alignment horizontal="centerContinuous"/>
    </xf>
    <xf numFmtId="0" fontId="12" fillId="0" borderId="10" xfId="26" applyFont="1" applyBorder="1" applyAlignment="1">
      <alignment horizontal="centerContinuous"/>
    </xf>
    <xf numFmtId="0" fontId="12" fillId="0" borderId="11" xfId="26" applyFont="1" applyBorder="1" applyAlignment="1">
      <alignment horizontal="centerContinuous"/>
    </xf>
    <xf numFmtId="0" fontId="13" fillId="0" borderId="4" xfId="26" applyFont="1" applyBorder="1" applyAlignment="1">
      <alignment horizontal="right"/>
    </xf>
    <xf numFmtId="0" fontId="16" fillId="0" borderId="5" xfId="26" applyFont="1" applyBorder="1">
      <alignment/>
    </xf>
    <xf numFmtId="175" fontId="13" fillId="0" borderId="4" xfId="26" applyNumberFormat="1" applyFont="1" applyBorder="1" applyProtection="1">
      <alignment/>
      <protection locked="0"/>
    </xf>
    <xf numFmtId="175" fontId="13" fillId="0" borderId="6" xfId="26" applyNumberFormat="1" applyFont="1" applyBorder="1" applyAlignment="1" applyProtection="1">
      <alignment horizontal="right"/>
      <protection locked="0"/>
    </xf>
    <xf numFmtId="0" fontId="13" fillId="0" borderId="11" xfId="26" applyNumberFormat="1" applyFont="1" applyBorder="1" applyAlignment="1" applyProtection="1">
      <alignment horizontal="right"/>
      <protection locked="0"/>
    </xf>
    <xf numFmtId="0" fontId="13" fillId="0" borderId="0" xfId="26" applyFont="1" applyAlignment="1">
      <alignment horizontal="left"/>
    </xf>
    <xf numFmtId="173" fontId="13" fillId="0" borderId="0" xfId="26" applyNumberFormat="1" applyFont="1" applyProtection="1">
      <alignment/>
      <protection locked="0"/>
    </xf>
    <xf numFmtId="173" fontId="13" fillId="0" borderId="5" xfId="26" applyNumberFormat="1" applyFont="1" applyBorder="1" applyProtection="1">
      <alignment/>
      <protection locked="0"/>
    </xf>
    <xf numFmtId="173" fontId="13" fillId="0" borderId="6" xfId="26" applyNumberFormat="1" applyFont="1" applyBorder="1" applyProtection="1">
      <alignment/>
      <protection locked="0"/>
    </xf>
    <xf numFmtId="0" fontId="13" fillId="0" borderId="0" xfId="26" applyFont="1" applyAlignment="1">
      <alignment/>
    </xf>
    <xf numFmtId="175" fontId="13" fillId="0" borderId="0" xfId="26" applyNumberFormat="1" applyFont="1" applyBorder="1" applyAlignment="1" applyProtection="1">
      <alignment horizontal="right"/>
      <protection locked="0"/>
    </xf>
    <xf numFmtId="175" fontId="13" fillId="0" borderId="5" xfId="26" applyNumberFormat="1" applyFont="1" applyBorder="1" applyAlignment="1" applyProtection="1">
      <alignment horizontal="right"/>
      <protection locked="0"/>
    </xf>
    <xf numFmtId="173" fontId="13" fillId="0" borderId="0" xfId="26" applyNumberFormat="1" applyFont="1">
      <alignment/>
    </xf>
    <xf numFmtId="173" fontId="13" fillId="0" borderId="5" xfId="26" applyNumberFormat="1" applyFont="1" applyBorder="1">
      <alignment/>
    </xf>
    <xf numFmtId="0" fontId="13" fillId="0" borderId="4" xfId="26" applyFont="1" applyBorder="1" applyProtection="1">
      <alignment/>
      <protection locked="0"/>
    </xf>
    <xf numFmtId="173" fontId="13" fillId="0" borderId="0" xfId="26" applyNumberFormat="1" applyFont="1" applyBorder="1">
      <alignment/>
    </xf>
    <xf numFmtId="0" fontId="12" fillId="0" borderId="1" xfId="27" applyNumberFormat="1" applyFont="1" applyBorder="1" applyProtection="1">
      <alignment/>
      <protection locked="0"/>
    </xf>
    <xf numFmtId="0" fontId="13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13" fillId="0" borderId="2" xfId="27" applyNumberFormat="1" applyFont="1" applyBorder="1" applyProtection="1">
      <alignment/>
      <protection locked="0"/>
    </xf>
    <xf numFmtId="0" fontId="13" fillId="0" borderId="3" xfId="27" applyFont="1" applyBorder="1" applyAlignment="1">
      <alignment horizontal="right"/>
    </xf>
    <xf numFmtId="0" fontId="13" fillId="0" borderId="0" xfId="27" applyFont="1">
      <alignment/>
    </xf>
    <xf numFmtId="0" fontId="12" fillId="0" borderId="4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13" fillId="0" borderId="0" xfId="27" applyNumberFormat="1" applyFont="1" applyBorder="1" applyProtection="1">
      <alignment/>
      <protection locked="0"/>
    </xf>
    <xf numFmtId="0" fontId="13" fillId="0" borderId="5" xfId="27" applyFont="1" applyBorder="1">
      <alignment/>
    </xf>
    <xf numFmtId="0" fontId="14" fillId="0" borderId="8" xfId="27" applyNumberFormat="1" applyFont="1" applyBorder="1" applyProtection="1">
      <alignment/>
      <protection locked="0"/>
    </xf>
    <xf numFmtId="0" fontId="13" fillId="0" borderId="6" xfId="27" applyNumberFormat="1" applyFont="1" applyBorder="1" applyProtection="1">
      <alignment/>
      <protection locked="0"/>
    </xf>
    <xf numFmtId="0" fontId="13" fillId="0" borderId="6" xfId="27" applyFont="1" applyBorder="1">
      <alignment/>
    </xf>
    <xf numFmtId="0" fontId="13" fillId="0" borderId="7" xfId="27" applyFont="1" applyBorder="1">
      <alignment/>
    </xf>
    <xf numFmtId="0" fontId="13" fillId="0" borderId="1" xfId="27" applyFont="1" applyBorder="1">
      <alignment/>
    </xf>
    <xf numFmtId="0" fontId="13" fillId="0" borderId="3" xfId="27" applyNumberFormat="1" applyFont="1" applyBorder="1" applyProtection="1">
      <alignment/>
      <protection locked="0"/>
    </xf>
    <xf numFmtId="0" fontId="13" fillId="0" borderId="2" xfId="27" applyNumberFormat="1" applyFont="1" applyBorder="1" applyAlignment="1" applyProtection="1">
      <alignment horizontal="right"/>
      <protection locked="0"/>
    </xf>
    <xf numFmtId="0" fontId="13" fillId="0" borderId="3" xfId="27" applyNumberFormat="1" applyFont="1" applyBorder="1" applyAlignment="1" applyProtection="1">
      <alignment horizontal="right"/>
      <protection locked="0"/>
    </xf>
    <xf numFmtId="0" fontId="13" fillId="0" borderId="0" xfId="27" applyNumberFormat="1" applyFont="1" applyAlignment="1" applyProtection="1">
      <alignment horizontal="right"/>
      <protection locked="0"/>
    </xf>
    <xf numFmtId="0" fontId="13" fillId="0" borderId="5" xfId="27" applyNumberFormat="1" applyFont="1" applyBorder="1" applyAlignment="1" applyProtection="1">
      <alignment horizontal="right"/>
      <protection locked="0"/>
    </xf>
    <xf numFmtId="0" fontId="13" fillId="0" borderId="4" xfId="27" applyFont="1" applyBorder="1">
      <alignment/>
    </xf>
    <xf numFmtId="0" fontId="16" fillId="0" borderId="5" xfId="27" applyFont="1" applyBorder="1">
      <alignment/>
    </xf>
    <xf numFmtId="0" fontId="13" fillId="0" borderId="0" xfId="27" applyFont="1" applyBorder="1">
      <alignment/>
    </xf>
    <xf numFmtId="0" fontId="13" fillId="0" borderId="0" xfId="27" applyNumberFormat="1" applyFont="1" applyBorder="1" applyAlignment="1" applyProtection="1">
      <alignment horizontal="right"/>
      <protection locked="0"/>
    </xf>
    <xf numFmtId="0" fontId="13" fillId="0" borderId="8" xfId="27" applyFont="1" applyBorder="1">
      <alignment/>
    </xf>
    <xf numFmtId="0" fontId="13" fillId="0" borderId="6" xfId="27" applyNumberFormat="1" applyFont="1" applyBorder="1" applyAlignment="1" applyProtection="1">
      <alignment horizontal="right"/>
      <protection locked="0"/>
    </xf>
    <xf numFmtId="0" fontId="13" fillId="0" borderId="7" xfId="27" applyNumberFormat="1" applyFont="1" applyBorder="1" applyAlignment="1" applyProtection="1">
      <alignment horizontal="right"/>
      <protection locked="0"/>
    </xf>
    <xf numFmtId="0" fontId="13" fillId="0" borderId="7" xfId="27" applyNumberFormat="1" applyFont="1" applyBorder="1" applyProtection="1">
      <alignment/>
      <protection locked="0"/>
    </xf>
    <xf numFmtId="175" fontId="13" fillId="0" borderId="6" xfId="27" applyNumberFormat="1" applyFont="1" applyBorder="1" applyProtection="1">
      <alignment/>
      <protection locked="0"/>
    </xf>
    <xf numFmtId="175" fontId="13" fillId="0" borderId="7" xfId="27" applyNumberFormat="1" applyFont="1" applyBorder="1" applyProtection="1">
      <alignment/>
      <protection locked="0"/>
    </xf>
    <xf numFmtId="0" fontId="13" fillId="0" borderId="4" xfId="27" applyNumberFormat="1" applyFont="1" applyBorder="1" applyProtection="1">
      <alignment/>
      <protection locked="0"/>
    </xf>
    <xf numFmtId="0" fontId="13" fillId="0" borderId="5" xfId="27" applyNumberFormat="1" applyFont="1" applyBorder="1" applyProtection="1">
      <alignment/>
      <protection locked="0"/>
    </xf>
    <xf numFmtId="0" fontId="13" fillId="0" borderId="0" xfId="27" applyNumberFormat="1" applyFont="1" applyProtection="1">
      <alignment/>
      <protection locked="0"/>
    </xf>
    <xf numFmtId="175" fontId="13" fillId="0" borderId="0" xfId="27" applyNumberFormat="1" applyFont="1" applyProtection="1">
      <alignment/>
      <protection locked="0"/>
    </xf>
    <xf numFmtId="175" fontId="13" fillId="0" borderId="5" xfId="27" applyNumberFormat="1" applyFont="1" applyBorder="1" applyProtection="1">
      <alignment/>
      <protection locked="0"/>
    </xf>
    <xf numFmtId="0" fontId="13" fillId="0" borderId="1" xfId="27" applyNumberFormat="1" applyFont="1" applyBorder="1" applyProtection="1">
      <alignment/>
      <protection locked="0"/>
    </xf>
    <xf numFmtId="175" fontId="13" fillId="0" borderId="5" xfId="27" applyNumberFormat="1" applyFont="1" applyBorder="1">
      <alignment/>
    </xf>
    <xf numFmtId="0" fontId="13" fillId="0" borderId="9" xfId="27" applyFont="1" applyBorder="1">
      <alignment/>
    </xf>
    <xf numFmtId="175" fontId="13" fillId="0" borderId="11" xfId="27" applyNumberFormat="1" applyFont="1" applyBorder="1">
      <alignment/>
    </xf>
    <xf numFmtId="0" fontId="12" fillId="0" borderId="10" xfId="27" applyFont="1" applyBorder="1" applyAlignment="1">
      <alignment horizontal="centerContinuous"/>
    </xf>
    <xf numFmtId="175" fontId="12" fillId="0" borderId="10" xfId="27" applyNumberFormat="1" applyFont="1" applyBorder="1" applyAlignment="1">
      <alignment horizontal="centerContinuous"/>
    </xf>
    <xf numFmtId="175" fontId="12" fillId="0" borderId="11" xfId="27" applyNumberFormat="1" applyFont="1" applyBorder="1" applyAlignment="1">
      <alignment horizontal="centerContinuous"/>
    </xf>
    <xf numFmtId="0" fontId="12" fillId="0" borderId="11" xfId="27" applyFont="1" applyBorder="1" applyAlignment="1">
      <alignment horizontal="centerContinuous"/>
    </xf>
    <xf numFmtId="0" fontId="16" fillId="0" borderId="0" xfId="27" applyFont="1" applyBorder="1" applyAlignment="1">
      <alignment horizontal="right"/>
    </xf>
    <xf numFmtId="0" fontId="13" fillId="0" borderId="0" xfId="27" applyFont="1" applyBorder="1" applyAlignment="1">
      <alignment horizontal="right"/>
    </xf>
    <xf numFmtId="0" fontId="13" fillId="0" borderId="5" xfId="27" applyFont="1" applyBorder="1" applyAlignment="1">
      <alignment horizontal="right"/>
    </xf>
    <xf numFmtId="0" fontId="13" fillId="0" borderId="6" xfId="27" applyFont="1" applyBorder="1" applyAlignment="1">
      <alignment horizontal="right"/>
    </xf>
    <xf numFmtId="0" fontId="13" fillId="0" borderId="7" xfId="27" applyFont="1" applyBorder="1" applyAlignment="1">
      <alignment horizontal="right"/>
    </xf>
    <xf numFmtId="0" fontId="13" fillId="0" borderId="9" xfId="27" applyNumberFormat="1" applyFont="1" applyBorder="1" applyProtection="1">
      <alignment/>
      <protection locked="0"/>
    </xf>
    <xf numFmtId="0" fontId="13" fillId="0" borderId="11" xfId="27" applyNumberFormat="1" applyFont="1" applyBorder="1" applyProtection="1">
      <alignment/>
      <protection locked="0"/>
    </xf>
    <xf numFmtId="0" fontId="13" fillId="0" borderId="10" xfId="27" applyNumberFormat="1" applyFont="1" applyBorder="1" applyProtection="1">
      <alignment/>
      <protection locked="0"/>
    </xf>
    <xf numFmtId="175" fontId="13" fillId="0" borderId="10" xfId="27" applyNumberFormat="1" applyFont="1" applyBorder="1" applyProtection="1">
      <alignment/>
      <protection locked="0"/>
    </xf>
    <xf numFmtId="175" fontId="13" fillId="0" borderId="11" xfId="27" applyNumberFormat="1" applyFont="1" applyBorder="1" applyProtection="1">
      <alignment/>
      <protection locked="0"/>
    </xf>
    <xf numFmtId="0" fontId="13" fillId="0" borderId="11" xfId="27" applyFont="1" applyBorder="1">
      <alignment/>
    </xf>
    <xf numFmtId="175" fontId="13" fillId="0" borderId="0" xfId="27" applyNumberFormat="1" applyFont="1" applyBorder="1" applyProtection="1">
      <alignment/>
      <protection locked="0"/>
    </xf>
    <xf numFmtId="175" fontId="12" fillId="0" borderId="2" xfId="27" applyNumberFormat="1" applyFont="1" applyBorder="1" applyProtection="1">
      <alignment/>
      <protection locked="0"/>
    </xf>
    <xf numFmtId="175" fontId="13" fillId="0" borderId="2" xfId="27" applyNumberFormat="1" applyFont="1" applyBorder="1">
      <alignment/>
    </xf>
    <xf numFmtId="175" fontId="13" fillId="0" borderId="0" xfId="27" applyNumberFormat="1" applyFont="1" applyBorder="1">
      <alignment/>
    </xf>
    <xf numFmtId="0" fontId="13" fillId="0" borderId="3" xfId="27" applyFont="1" applyBorder="1">
      <alignment/>
    </xf>
    <xf numFmtId="0" fontId="12" fillId="0" borderId="0" xfId="27" applyFont="1" applyAlignment="1">
      <alignment horizontal="centerContinuous"/>
    </xf>
    <xf numFmtId="175" fontId="12" fillId="0" borderId="6" xfId="27" applyNumberFormat="1" applyFont="1" applyBorder="1" applyAlignment="1">
      <alignment horizontal="centerContinuous"/>
    </xf>
    <xf numFmtId="175" fontId="12" fillId="0" borderId="7" xfId="27" applyNumberFormat="1" applyFont="1" applyBorder="1" applyAlignment="1">
      <alignment horizontal="centerContinuous"/>
    </xf>
    <xf numFmtId="0" fontId="12" fillId="0" borderId="9" xfId="27" applyFont="1" applyBorder="1" applyAlignment="1">
      <alignment horizontal="centerContinuous"/>
    </xf>
    <xf numFmtId="0" fontId="13" fillId="0" borderId="2" xfId="27" applyFont="1" applyBorder="1" applyAlignment="1">
      <alignment horizontal="right"/>
    </xf>
    <xf numFmtId="0" fontId="13" fillId="0" borderId="0" xfId="27" applyFont="1" applyAlignment="1">
      <alignment horizontal="right"/>
    </xf>
    <xf numFmtId="0" fontId="16" fillId="0" borderId="4" xfId="27" applyFont="1" applyBorder="1">
      <alignment/>
    </xf>
    <xf numFmtId="0" fontId="13" fillId="0" borderId="10" xfId="27" applyFont="1" applyBorder="1" applyAlignment="1">
      <alignment horizontal="right"/>
    </xf>
    <xf numFmtId="9" fontId="13" fillId="0" borderId="10" xfId="34" applyFont="1" applyBorder="1" applyAlignment="1">
      <alignment horizontal="right"/>
    </xf>
    <xf numFmtId="0" fontId="13" fillId="0" borderId="9" xfId="27" applyFont="1" applyBorder="1" applyAlignment="1">
      <alignment horizontal="right"/>
    </xf>
    <xf numFmtId="0" fontId="13" fillId="0" borderId="11" xfId="27" applyFont="1" applyBorder="1" applyAlignment="1">
      <alignment horizontal="right"/>
    </xf>
    <xf numFmtId="0" fontId="13" fillId="0" borderId="8" xfId="27" applyNumberFormat="1" applyFont="1" applyBorder="1" applyProtection="1">
      <alignment/>
      <protection locked="0"/>
    </xf>
    <xf numFmtId="175" fontId="13" fillId="0" borderId="0" xfId="27" applyNumberFormat="1" applyFont="1">
      <alignment/>
    </xf>
    <xf numFmtId="14" fontId="13" fillId="0" borderId="8" xfId="27" applyNumberFormat="1" applyFont="1" applyBorder="1" applyAlignment="1" quotePrefix="1">
      <alignment horizontal="left"/>
    </xf>
    <xf numFmtId="14" fontId="13" fillId="0" borderId="6" xfId="27" applyNumberFormat="1" applyFont="1" applyBorder="1" applyAlignment="1">
      <alignment horizontal="left"/>
    </xf>
    <xf numFmtId="0" fontId="12" fillId="0" borderId="1" xfId="29" applyNumberFormat="1" applyFont="1" applyBorder="1" applyProtection="1">
      <alignment/>
      <protection locked="0"/>
    </xf>
    <xf numFmtId="0" fontId="13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13" fillId="0" borderId="2" xfId="29" applyNumberFormat="1" applyFont="1" applyBorder="1" applyProtection="1">
      <alignment/>
      <protection locked="0"/>
    </xf>
    <xf numFmtId="0" fontId="13" fillId="0" borderId="3" xfId="29" applyFont="1" applyBorder="1" applyAlignment="1">
      <alignment horizontal="right"/>
    </xf>
    <xf numFmtId="0" fontId="13" fillId="0" borderId="0" xfId="29" applyFont="1">
      <alignment/>
    </xf>
    <xf numFmtId="0" fontId="12" fillId="0" borderId="4" xfId="29" applyNumberFormat="1" applyFont="1" applyBorder="1" applyProtection="1">
      <alignment/>
      <protection locked="0"/>
    </xf>
    <xf numFmtId="0" fontId="13" fillId="0" borderId="0" xfId="29" applyFont="1" applyBorder="1">
      <alignment/>
    </xf>
    <xf numFmtId="0" fontId="12" fillId="0" borderId="0" xfId="29" applyNumberFormat="1" applyFont="1" applyBorder="1" applyProtection="1">
      <alignment/>
      <protection locked="0"/>
    </xf>
    <xf numFmtId="0" fontId="13" fillId="0" borderId="0" xfId="29" applyNumberFormat="1" applyFont="1" applyBorder="1" applyProtection="1">
      <alignment/>
      <protection locked="0"/>
    </xf>
    <xf numFmtId="0" fontId="13" fillId="0" borderId="5" xfId="29" applyFont="1" applyBorder="1">
      <alignment/>
    </xf>
    <xf numFmtId="0" fontId="14" fillId="0" borderId="8" xfId="29" applyFont="1" applyBorder="1">
      <alignment/>
    </xf>
    <xf numFmtId="0" fontId="13" fillId="0" borderId="6" xfId="29" applyFont="1" applyBorder="1">
      <alignment/>
    </xf>
    <xf numFmtId="0" fontId="13" fillId="0" borderId="6" xfId="29" applyNumberFormat="1" applyFont="1" applyBorder="1" applyProtection="1">
      <alignment/>
      <protection locked="0"/>
    </xf>
    <xf numFmtId="0" fontId="13" fillId="0" borderId="7" xfId="29" applyNumberFormat="1" applyFont="1" applyBorder="1" applyProtection="1">
      <alignment/>
      <protection locked="0"/>
    </xf>
    <xf numFmtId="0" fontId="13" fillId="0" borderId="0" xfId="29" applyNumberFormat="1" applyFont="1" applyProtection="1">
      <alignment/>
      <protection locked="0"/>
    </xf>
    <xf numFmtId="0" fontId="13" fillId="0" borderId="0" xfId="29" applyNumberFormat="1" applyFont="1" applyAlignment="1" applyProtection="1">
      <alignment horizontal="right"/>
      <protection locked="0"/>
    </xf>
    <xf numFmtId="0" fontId="13" fillId="0" borderId="1" xfId="29" applyNumberFormat="1" applyFont="1" applyBorder="1" applyProtection="1">
      <alignment/>
      <protection locked="0"/>
    </xf>
    <xf numFmtId="0" fontId="13" fillId="0" borderId="3" xfId="29" applyFont="1" applyBorder="1">
      <alignment/>
    </xf>
    <xf numFmtId="0" fontId="13" fillId="0" borderId="2" xfId="29" applyNumberFormat="1" applyFont="1" applyBorder="1" applyAlignment="1" applyProtection="1">
      <alignment horizontal="right"/>
      <protection locked="0"/>
    </xf>
    <xf numFmtId="0" fontId="13" fillId="0" borderId="3" xfId="29" applyNumberFormat="1" applyFont="1" applyBorder="1" applyAlignment="1" applyProtection="1">
      <alignment horizontal="right"/>
      <protection locked="0"/>
    </xf>
    <xf numFmtId="0" fontId="13" fillId="0" borderId="1" xfId="29" applyFont="1" applyBorder="1">
      <alignment/>
    </xf>
    <xf numFmtId="0" fontId="16" fillId="0" borderId="4" xfId="29" applyFont="1" applyBorder="1">
      <alignment/>
    </xf>
    <xf numFmtId="0" fontId="13" fillId="0" borderId="4" xfId="29" applyFont="1" applyBorder="1">
      <alignment/>
    </xf>
    <xf numFmtId="0" fontId="13" fillId="0" borderId="0" xfId="29" applyNumberFormat="1" applyFont="1" applyBorder="1" applyAlignment="1" applyProtection="1">
      <alignment horizontal="right"/>
      <protection locked="0"/>
    </xf>
    <xf numFmtId="0" fontId="13" fillId="0" borderId="5" xfId="29" applyNumberFormat="1" applyFont="1" applyBorder="1" applyAlignment="1" applyProtection="1">
      <alignment horizontal="right"/>
      <protection locked="0"/>
    </xf>
    <xf numFmtId="0" fontId="13" fillId="0" borderId="8" xfId="29" applyFont="1" applyBorder="1">
      <alignment/>
    </xf>
    <xf numFmtId="0" fontId="13" fillId="0" borderId="7" xfId="29" applyFont="1" applyBorder="1">
      <alignment/>
    </xf>
    <xf numFmtId="0" fontId="13" fillId="0" borderId="8" xfId="29" applyNumberFormat="1" applyFont="1" applyBorder="1" applyAlignment="1" applyProtection="1">
      <alignment horizontal="right"/>
      <protection locked="0"/>
    </xf>
    <xf numFmtId="0" fontId="13" fillId="0" borderId="6" xfId="29" applyNumberFormat="1" applyFont="1" applyBorder="1" applyAlignment="1" applyProtection="1">
      <alignment horizontal="right"/>
      <protection locked="0"/>
    </xf>
    <xf numFmtId="0" fontId="13" fillId="0" borderId="7" xfId="29" applyNumberFormat="1" applyFont="1" applyBorder="1" applyAlignment="1" applyProtection="1">
      <alignment horizontal="right"/>
      <protection locked="0"/>
    </xf>
    <xf numFmtId="0" fontId="13" fillId="0" borderId="9" xfId="29" applyFont="1" applyBorder="1">
      <alignment/>
    </xf>
    <xf numFmtId="0" fontId="13" fillId="0" borderId="11" xfId="29" applyNumberFormat="1" applyFont="1" applyBorder="1" applyProtection="1">
      <alignment/>
      <protection locked="0"/>
    </xf>
    <xf numFmtId="0" fontId="13" fillId="0" borderId="9" xfId="29" applyNumberFormat="1" applyFont="1" applyBorder="1" applyProtection="1">
      <alignment/>
      <protection locked="0"/>
    </xf>
    <xf numFmtId="175" fontId="13" fillId="0" borderId="10" xfId="29" applyNumberFormat="1" applyFont="1" applyBorder="1" applyProtection="1">
      <alignment/>
      <protection locked="0"/>
    </xf>
    <xf numFmtId="175" fontId="13" fillId="0" borderId="11" xfId="29" applyNumberFormat="1" applyFont="1" applyBorder="1" applyProtection="1">
      <alignment/>
      <protection locked="0"/>
    </xf>
    <xf numFmtId="0" fontId="13" fillId="0" borderId="4" xfId="29" applyNumberFormat="1" applyFont="1" applyBorder="1" applyProtection="1">
      <alignment/>
      <protection locked="0"/>
    </xf>
    <xf numFmtId="175" fontId="13" fillId="0" borderId="0" xfId="29" applyNumberFormat="1" applyFont="1" applyBorder="1" applyProtection="1">
      <alignment/>
      <protection locked="0"/>
    </xf>
    <xf numFmtId="175" fontId="13" fillId="0" borderId="5" xfId="29" applyNumberFormat="1" applyFont="1" applyBorder="1" applyProtection="1">
      <alignment/>
      <protection locked="0"/>
    </xf>
    <xf numFmtId="0" fontId="13" fillId="0" borderId="8" xfId="29" applyNumberFormat="1" applyFont="1" applyBorder="1" applyProtection="1">
      <alignment/>
      <protection locked="0"/>
    </xf>
    <xf numFmtId="175" fontId="13" fillId="0" borderId="6" xfId="29" applyNumberFormat="1" applyFont="1" applyBorder="1" applyProtection="1">
      <alignment/>
      <protection locked="0"/>
    </xf>
    <xf numFmtId="175" fontId="13" fillId="0" borderId="5" xfId="29" applyNumberFormat="1" applyFont="1" applyBorder="1">
      <alignment/>
    </xf>
    <xf numFmtId="0" fontId="13" fillId="0" borderId="4" xfId="29" applyNumberFormat="1" applyFont="1" applyBorder="1" applyProtection="1" quotePrefix="1">
      <alignment/>
      <protection locked="0"/>
    </xf>
    <xf numFmtId="175" fontId="13" fillId="0" borderId="2" xfId="29" applyNumberFormat="1" applyFont="1" applyBorder="1">
      <alignment/>
    </xf>
    <xf numFmtId="175" fontId="13" fillId="0" borderId="3" xfId="29" applyNumberFormat="1" applyFont="1" applyBorder="1">
      <alignment/>
    </xf>
    <xf numFmtId="175" fontId="13" fillId="0" borderId="0" xfId="29" applyNumberFormat="1" applyFont="1" applyBorder="1">
      <alignment/>
    </xf>
    <xf numFmtId="0" fontId="13" fillId="0" borderId="1" xfId="29" applyNumberFormat="1" applyFont="1" applyBorder="1" applyProtection="1" quotePrefix="1">
      <alignment/>
      <protection locked="0"/>
    </xf>
    <xf numFmtId="0" fontId="12" fillId="0" borderId="9" xfId="29" applyFont="1" applyBorder="1" applyAlignment="1">
      <alignment horizontal="centerContinuous"/>
    </xf>
    <xf numFmtId="175" fontId="12" fillId="0" borderId="10" xfId="29" applyNumberFormat="1" applyFont="1" applyBorder="1" applyAlignment="1">
      <alignment horizontal="centerContinuous"/>
    </xf>
    <xf numFmtId="0" fontId="16" fillId="0" borderId="10" xfId="29" applyFont="1" applyBorder="1" applyAlignment="1">
      <alignment horizontal="centerContinuous"/>
    </xf>
    <xf numFmtId="0" fontId="16" fillId="0" borderId="11" xfId="29" applyFont="1" applyBorder="1" applyAlignment="1">
      <alignment horizontal="centerContinuous"/>
    </xf>
    <xf numFmtId="0" fontId="16" fillId="0" borderId="1" xfId="29" applyFont="1" applyBorder="1" applyAlignment="1">
      <alignment horizontal="right"/>
    </xf>
    <xf numFmtId="0" fontId="13" fillId="0" borderId="2" xfId="29" applyFont="1" applyBorder="1" applyAlignment="1">
      <alignment horizontal="right"/>
    </xf>
    <xf numFmtId="0" fontId="16" fillId="0" borderId="4" xfId="29" applyFont="1" applyBorder="1" applyAlignment="1">
      <alignment horizontal="right"/>
    </xf>
    <xf numFmtId="0" fontId="13" fillId="0" borderId="0" xfId="29" applyFont="1" applyBorder="1" applyAlignment="1">
      <alignment horizontal="right"/>
    </xf>
    <xf numFmtId="0" fontId="13" fillId="0" borderId="5" xfId="29" applyFont="1" applyBorder="1" applyAlignment="1">
      <alignment horizontal="right"/>
    </xf>
    <xf numFmtId="0" fontId="13" fillId="0" borderId="8" xfId="29" applyFont="1" applyBorder="1" applyAlignment="1">
      <alignment horizontal="right"/>
    </xf>
    <xf numFmtId="0" fontId="13" fillId="0" borderId="6" xfId="29" applyFont="1" applyBorder="1" applyAlignment="1">
      <alignment horizontal="right"/>
    </xf>
    <xf numFmtId="0" fontId="13" fillId="0" borderId="7" xfId="29" applyFont="1" applyBorder="1" applyAlignment="1">
      <alignment horizontal="right"/>
    </xf>
    <xf numFmtId="175" fontId="13" fillId="0" borderId="2" xfId="29" applyNumberFormat="1" applyFont="1" applyBorder="1" applyProtection="1">
      <alignment/>
      <protection locked="0"/>
    </xf>
    <xf numFmtId="0" fontId="12" fillId="0" borderId="10" xfId="29" applyFont="1" applyBorder="1" applyAlignment="1">
      <alignment horizontal="centerContinuous"/>
    </xf>
    <xf numFmtId="175" fontId="13" fillId="0" borderId="10" xfId="29" applyNumberFormat="1" applyFont="1" applyBorder="1" applyAlignment="1">
      <alignment horizontal="centerContinuous"/>
    </xf>
    <xf numFmtId="175" fontId="13" fillId="0" borderId="11" xfId="29" applyNumberFormat="1" applyFont="1" applyBorder="1" applyAlignment="1">
      <alignment horizontal="centerContinuous"/>
    </xf>
    <xf numFmtId="0" fontId="13" fillId="0" borderId="10" xfId="29" applyFont="1" applyBorder="1" applyAlignment="1">
      <alignment horizontal="centerContinuous"/>
    </xf>
    <xf numFmtId="0" fontId="13" fillId="0" borderId="11" xfId="29" applyFont="1" applyBorder="1" applyAlignment="1">
      <alignment horizontal="centerContinuous"/>
    </xf>
    <xf numFmtId="0" fontId="13" fillId="0" borderId="4" xfId="29" applyFont="1" applyBorder="1" applyAlignment="1">
      <alignment horizontal="right"/>
    </xf>
    <xf numFmtId="0" fontId="13" fillId="0" borderId="0" xfId="29" applyFont="1" applyAlignment="1">
      <alignment horizontal="right"/>
    </xf>
    <xf numFmtId="0" fontId="25" fillId="0" borderId="0" xfId="29" applyFont="1" applyAlignment="1">
      <alignment horizontal="right"/>
    </xf>
    <xf numFmtId="175" fontId="13" fillId="0" borderId="3" xfId="29" applyNumberFormat="1" applyFont="1" applyBorder="1" applyProtection="1">
      <alignment/>
      <protection locked="0"/>
    </xf>
    <xf numFmtId="175" fontId="13" fillId="0" borderId="0" xfId="29" applyNumberFormat="1" applyFont="1" applyProtection="1">
      <alignment/>
      <protection locked="0"/>
    </xf>
    <xf numFmtId="0" fontId="13" fillId="0" borderId="9" xfId="29" applyFont="1" applyBorder="1" applyAlignment="1">
      <alignment vertical="center"/>
    </xf>
    <xf numFmtId="0" fontId="13" fillId="0" borderId="10" xfId="29" applyNumberFormat="1" applyFont="1" applyBorder="1" applyProtection="1">
      <alignment/>
      <protection locked="0"/>
    </xf>
    <xf numFmtId="0" fontId="13" fillId="0" borderId="10" xfId="29" applyFont="1" applyBorder="1">
      <alignment/>
    </xf>
    <xf numFmtId="175" fontId="13" fillId="0" borderId="10" xfId="29" applyNumberFormat="1" applyFont="1" applyBorder="1" applyAlignment="1" applyProtection="1">
      <alignment horizontal="right"/>
      <protection locked="0"/>
    </xf>
    <xf numFmtId="175" fontId="13" fillId="0" borderId="11" xfId="29" applyNumberFormat="1" applyFont="1" applyBorder="1" applyAlignment="1" applyProtection="1">
      <alignment horizontal="right"/>
      <protection locked="0"/>
    </xf>
    <xf numFmtId="0" fontId="13" fillId="0" borderId="2" xfId="29" applyFont="1" applyBorder="1" applyAlignment="1">
      <alignment vertical="center"/>
    </xf>
    <xf numFmtId="175" fontId="13" fillId="0" borderId="2" xfId="29" applyNumberFormat="1" applyFont="1" applyBorder="1" applyAlignment="1" applyProtection="1">
      <alignment horizontal="right"/>
      <protection locked="0"/>
    </xf>
    <xf numFmtId="0" fontId="13" fillId="0" borderId="0" xfId="29" applyFont="1" applyBorder="1" applyAlignment="1">
      <alignment vertical="center"/>
    </xf>
    <xf numFmtId="175" fontId="13" fillId="0" borderId="0" xfId="29" applyNumberFormat="1" applyFont="1" applyBorder="1" applyAlignment="1" applyProtection="1">
      <alignment horizontal="right"/>
      <protection locked="0"/>
    </xf>
    <xf numFmtId="14" fontId="13" fillId="0" borderId="8" xfId="29" applyNumberFormat="1" applyFont="1" applyBorder="1" applyAlignment="1" quotePrefix="1">
      <alignment horizontal="left"/>
    </xf>
    <xf numFmtId="14" fontId="13" fillId="0" borderId="6" xfId="29" applyNumberFormat="1" applyFont="1" applyBorder="1" applyAlignment="1">
      <alignment horizontal="left"/>
    </xf>
    <xf numFmtId="0" fontId="12" fillId="0" borderId="1" xfId="30" applyNumberFormat="1" applyFont="1" applyBorder="1" applyProtection="1">
      <alignment/>
      <protection locked="0"/>
    </xf>
    <xf numFmtId="0" fontId="13" fillId="0" borderId="2" xfId="30" applyFont="1" applyBorder="1">
      <alignment/>
    </xf>
    <xf numFmtId="0" fontId="12" fillId="0" borderId="2" xfId="30" applyNumberFormat="1" applyFont="1" applyBorder="1" applyAlignment="1" applyProtection="1">
      <alignment horizontal="center"/>
      <protection locked="0"/>
    </xf>
    <xf numFmtId="0" fontId="12" fillId="0" borderId="2" xfId="30" applyNumberFormat="1" applyFont="1" applyBorder="1" applyProtection="1">
      <alignment/>
      <protection locked="0"/>
    </xf>
    <xf numFmtId="0" fontId="13" fillId="0" borderId="2" xfId="30" applyNumberFormat="1" applyFont="1" applyBorder="1" applyProtection="1">
      <alignment/>
      <protection locked="0"/>
    </xf>
    <xf numFmtId="0" fontId="13" fillId="0" borderId="3" xfId="30" applyFont="1" applyBorder="1" applyAlignment="1">
      <alignment horizontal="right"/>
    </xf>
    <xf numFmtId="0" fontId="13" fillId="0" borderId="0" xfId="30" applyFont="1">
      <alignment/>
    </xf>
    <xf numFmtId="0" fontId="13" fillId="0" borderId="0" xfId="30" applyNumberFormat="1" applyFont="1" applyProtection="1">
      <alignment/>
      <protection locked="0"/>
    </xf>
    <xf numFmtId="0" fontId="12" fillId="0" borderId="4" xfId="30" applyNumberFormat="1" applyFont="1" applyBorder="1" applyProtection="1">
      <alignment/>
      <protection locked="0"/>
    </xf>
    <xf numFmtId="0" fontId="13" fillId="0" borderId="0" xfId="30" applyFont="1" applyBorder="1">
      <alignment/>
    </xf>
    <xf numFmtId="0" fontId="12" fillId="0" borderId="0" xfId="30" applyNumberFormat="1" applyFont="1" applyBorder="1" applyProtection="1">
      <alignment/>
      <protection locked="0"/>
    </xf>
    <xf numFmtId="0" fontId="13" fillId="0" borderId="0" xfId="30" applyNumberFormat="1" applyFont="1" applyBorder="1" applyProtection="1">
      <alignment/>
      <protection locked="0"/>
    </xf>
    <xf numFmtId="0" fontId="13" fillId="0" borderId="5" xfId="30" applyFont="1" applyBorder="1">
      <alignment/>
    </xf>
    <xf numFmtId="0" fontId="14" fillId="0" borderId="8" xfId="30" applyFont="1" applyBorder="1">
      <alignment/>
    </xf>
    <xf numFmtId="0" fontId="14" fillId="0" borderId="6" xfId="30" applyFont="1" applyBorder="1">
      <alignment/>
    </xf>
    <xf numFmtId="0" fontId="13" fillId="0" borderId="6" xfId="30" applyFont="1" applyBorder="1">
      <alignment/>
    </xf>
    <xf numFmtId="0" fontId="13" fillId="0" borderId="6" xfId="30" applyNumberFormat="1" applyFont="1" applyBorder="1" applyProtection="1">
      <alignment/>
      <protection locked="0"/>
    </xf>
    <xf numFmtId="0" fontId="13" fillId="0" borderId="7" xfId="30" applyNumberFormat="1" applyFont="1" applyBorder="1" applyProtection="1">
      <alignment/>
      <protection locked="0"/>
    </xf>
    <xf numFmtId="0" fontId="13" fillId="0" borderId="1" xfId="30" applyFont="1" applyBorder="1">
      <alignment/>
    </xf>
    <xf numFmtId="0" fontId="13" fillId="0" borderId="1" xfId="30" applyNumberFormat="1" applyFont="1" applyBorder="1" applyProtection="1">
      <alignment/>
      <protection locked="0"/>
    </xf>
    <xf numFmtId="0" fontId="13" fillId="0" borderId="2" xfId="30" applyNumberFormat="1" applyFont="1" applyBorder="1" applyAlignment="1" applyProtection="1">
      <alignment horizontal="right"/>
      <protection locked="0"/>
    </xf>
    <xf numFmtId="0" fontId="13" fillId="0" borderId="3" xfId="30" applyNumberFormat="1" applyFont="1" applyBorder="1" applyAlignment="1" applyProtection="1">
      <alignment horizontal="right"/>
      <protection locked="0"/>
    </xf>
    <xf numFmtId="0" fontId="13" fillId="0" borderId="0" xfId="30" applyNumberFormat="1" applyFont="1" applyAlignment="1" applyProtection="1">
      <alignment horizontal="right"/>
      <protection locked="0"/>
    </xf>
    <xf numFmtId="0" fontId="16" fillId="0" borderId="4" xfId="30" applyFont="1" applyBorder="1">
      <alignment/>
    </xf>
    <xf numFmtId="0" fontId="13" fillId="0" borderId="4" xfId="30" applyFont="1" applyBorder="1">
      <alignment/>
    </xf>
    <xf numFmtId="0" fontId="13" fillId="0" borderId="0" xfId="30" applyNumberFormat="1" applyFont="1" applyBorder="1" applyAlignment="1" applyProtection="1">
      <alignment horizontal="right"/>
      <protection locked="0"/>
    </xf>
    <xf numFmtId="0" fontId="13" fillId="0" borderId="5" xfId="30" applyNumberFormat="1" applyFont="1" applyBorder="1" applyAlignment="1" applyProtection="1">
      <alignment horizontal="right"/>
      <protection locked="0"/>
    </xf>
    <xf numFmtId="0" fontId="13" fillId="0" borderId="8" xfId="30" applyFont="1" applyBorder="1">
      <alignment/>
    </xf>
    <xf numFmtId="0" fontId="13" fillId="0" borderId="8" xfId="30" applyNumberFormat="1" applyFont="1" applyBorder="1" applyAlignment="1" applyProtection="1">
      <alignment horizontal="right"/>
      <protection locked="0"/>
    </xf>
    <xf numFmtId="0" fontId="13" fillId="0" borderId="6" xfId="30" applyNumberFormat="1" applyFont="1" applyBorder="1" applyAlignment="1" applyProtection="1">
      <alignment horizontal="right"/>
      <protection locked="0"/>
    </xf>
    <xf numFmtId="0" fontId="13" fillId="0" borderId="7" xfId="30" applyNumberFormat="1" applyFont="1" applyBorder="1" applyAlignment="1" applyProtection="1">
      <alignment horizontal="right"/>
      <protection locked="0"/>
    </xf>
    <xf numFmtId="0" fontId="13" fillId="0" borderId="9" xfId="30" applyFont="1" applyBorder="1">
      <alignment/>
    </xf>
    <xf numFmtId="0" fontId="13" fillId="0" borderId="10" xfId="30" applyNumberFormat="1" applyFont="1" applyBorder="1" applyProtection="1">
      <alignment/>
      <protection locked="0"/>
    </xf>
    <xf numFmtId="0" fontId="13" fillId="0" borderId="9" xfId="30" applyNumberFormat="1" applyFont="1" applyBorder="1" applyProtection="1">
      <alignment/>
      <protection locked="0"/>
    </xf>
    <xf numFmtId="175" fontId="13" fillId="0" borderId="10" xfId="30" applyNumberFormat="1" applyFont="1" applyBorder="1" applyProtection="1">
      <alignment/>
      <protection locked="0"/>
    </xf>
    <xf numFmtId="175" fontId="13" fillId="0" borderId="11" xfId="30" applyNumberFormat="1" applyFont="1" applyBorder="1" applyProtection="1">
      <alignment/>
      <protection locked="0"/>
    </xf>
    <xf numFmtId="175" fontId="13" fillId="0" borderId="0" xfId="30" applyNumberFormat="1" applyFont="1" applyProtection="1">
      <alignment/>
      <protection locked="0"/>
    </xf>
    <xf numFmtId="0" fontId="13" fillId="0" borderId="4" xfId="30" applyNumberFormat="1" applyFont="1" applyBorder="1" applyProtection="1">
      <alignment/>
      <protection locked="0"/>
    </xf>
    <xf numFmtId="175" fontId="13" fillId="0" borderId="0" xfId="30" applyNumberFormat="1" applyFont="1" applyBorder="1" applyProtection="1">
      <alignment/>
      <protection locked="0"/>
    </xf>
    <xf numFmtId="175" fontId="13" fillId="0" borderId="5" xfId="30" applyNumberFormat="1" applyFont="1" applyBorder="1" applyProtection="1">
      <alignment/>
      <protection locked="0"/>
    </xf>
    <xf numFmtId="0" fontId="13" fillId="0" borderId="8" xfId="30" applyNumberFormat="1" applyFont="1" applyBorder="1" applyProtection="1">
      <alignment/>
      <protection locked="0"/>
    </xf>
    <xf numFmtId="175" fontId="13" fillId="0" borderId="6" xfId="30" applyNumberFormat="1" applyFont="1" applyBorder="1" applyProtection="1">
      <alignment/>
      <protection locked="0"/>
    </xf>
    <xf numFmtId="175" fontId="13" fillId="0" borderId="5" xfId="30" applyNumberFormat="1" applyFont="1" applyBorder="1">
      <alignment/>
    </xf>
    <xf numFmtId="0" fontId="13" fillId="0" borderId="4" xfId="30" applyNumberFormat="1" applyFont="1" applyBorder="1" applyAlignment="1" applyProtection="1" quotePrefix="1">
      <alignment horizontal="left"/>
      <protection locked="0"/>
    </xf>
    <xf numFmtId="175" fontId="13" fillId="0" borderId="0" xfId="30" applyNumberFormat="1" applyFont="1" applyBorder="1" applyAlignment="1" applyProtection="1">
      <alignment horizontal="right"/>
      <protection locked="0"/>
    </xf>
    <xf numFmtId="0" fontId="13" fillId="0" borderId="7" xfId="30" applyFont="1" applyBorder="1">
      <alignment/>
    </xf>
    <xf numFmtId="175" fontId="12" fillId="0" borderId="2" xfId="30" applyNumberFormat="1" applyFont="1" applyBorder="1" applyProtection="1">
      <alignment/>
      <protection locked="0"/>
    </xf>
    <xf numFmtId="175" fontId="13" fillId="0" borderId="2" xfId="30" applyNumberFormat="1" applyFont="1" applyBorder="1" applyProtection="1">
      <alignment/>
      <protection locked="0"/>
    </xf>
    <xf numFmtId="0" fontId="13" fillId="0" borderId="5" xfId="30" applyFont="1" applyBorder="1">
      <alignment/>
    </xf>
    <xf numFmtId="0" fontId="12" fillId="0" borderId="8" xfId="30" applyFont="1" applyBorder="1" applyAlignment="1">
      <alignment horizontal="centerContinuous"/>
    </xf>
    <xf numFmtId="175" fontId="12" fillId="0" borderId="6" xfId="30" applyNumberFormat="1" applyFont="1" applyBorder="1" applyAlignment="1">
      <alignment horizontal="centerContinuous"/>
    </xf>
    <xf numFmtId="175" fontId="12" fillId="0" borderId="7" xfId="30" applyNumberFormat="1" applyFont="1" applyBorder="1" applyAlignment="1">
      <alignment horizontal="centerContinuous"/>
    </xf>
    <xf numFmtId="0" fontId="12" fillId="0" borderId="6" xfId="30" applyFont="1" applyBorder="1" applyAlignment="1">
      <alignment horizontal="centerContinuous"/>
    </xf>
    <xf numFmtId="0" fontId="12" fillId="0" borderId="7" xfId="30" applyFont="1" applyBorder="1" applyAlignment="1">
      <alignment horizontal="centerContinuous"/>
    </xf>
    <xf numFmtId="0" fontId="13" fillId="0" borderId="3" xfId="30" applyFont="1" applyBorder="1">
      <alignment/>
    </xf>
    <xf numFmtId="0" fontId="16" fillId="0" borderId="1" xfId="30" applyFont="1" applyBorder="1" applyAlignment="1">
      <alignment horizontal="right"/>
    </xf>
    <xf numFmtId="0" fontId="13" fillId="0" borderId="2" xfId="30" applyFont="1" applyBorder="1" applyAlignment="1">
      <alignment horizontal="right"/>
    </xf>
    <xf numFmtId="0" fontId="13" fillId="0" borderId="3" xfId="30" applyFont="1" applyBorder="1" applyAlignment="1">
      <alignment horizontal="right"/>
    </xf>
    <xf numFmtId="0" fontId="16" fillId="0" borderId="4" xfId="30" applyFont="1" applyBorder="1" applyAlignment="1">
      <alignment horizontal="right"/>
    </xf>
    <xf numFmtId="0" fontId="13" fillId="0" borderId="0" xfId="30" applyFont="1" applyBorder="1" applyAlignment="1">
      <alignment horizontal="right"/>
    </xf>
    <xf numFmtId="0" fontId="13" fillId="0" borderId="5" xfId="30" applyFont="1" applyBorder="1" applyAlignment="1">
      <alignment horizontal="right"/>
    </xf>
    <xf numFmtId="0" fontId="13" fillId="0" borderId="7" xfId="30" applyFont="1" applyBorder="1">
      <alignment/>
    </xf>
    <xf numFmtId="0" fontId="13" fillId="0" borderId="8" xfId="30" applyFont="1" applyBorder="1" applyAlignment="1">
      <alignment horizontal="right"/>
    </xf>
    <xf numFmtId="0" fontId="13" fillId="0" borderId="6" xfId="30" applyFont="1" applyBorder="1" applyAlignment="1">
      <alignment horizontal="right"/>
    </xf>
    <xf numFmtId="0" fontId="13" fillId="0" borderId="7" xfId="30" applyFont="1" applyBorder="1" applyAlignment="1">
      <alignment horizontal="right"/>
    </xf>
    <xf numFmtId="175" fontId="13" fillId="0" borderId="3" xfId="30" applyNumberFormat="1" applyFont="1" applyBorder="1" applyProtection="1">
      <alignment/>
      <protection locked="0"/>
    </xf>
    <xf numFmtId="175" fontId="13" fillId="0" borderId="2" xfId="30" applyNumberFormat="1" applyFont="1" applyBorder="1">
      <alignment/>
    </xf>
    <xf numFmtId="175" fontId="13" fillId="0" borderId="3" xfId="30" applyNumberFormat="1" applyFont="1" applyBorder="1">
      <alignment/>
    </xf>
    <xf numFmtId="175" fontId="13" fillId="0" borderId="5" xfId="30" applyNumberFormat="1" applyFont="1" applyBorder="1" applyAlignment="1" applyProtection="1">
      <alignment horizontal="right"/>
      <protection locked="0"/>
    </xf>
    <xf numFmtId="0" fontId="13" fillId="0" borderId="3" xfId="30" applyFont="1" applyBorder="1">
      <alignment/>
    </xf>
    <xf numFmtId="0" fontId="12" fillId="0" borderId="9" xfId="30" applyFont="1" applyBorder="1" applyAlignment="1">
      <alignment horizontal="centerContinuous"/>
    </xf>
    <xf numFmtId="175" fontId="12" fillId="0" borderId="10" xfId="30" applyNumberFormat="1" applyFont="1" applyBorder="1" applyAlignment="1">
      <alignment horizontal="centerContinuous"/>
    </xf>
    <xf numFmtId="175" fontId="12" fillId="0" borderId="11" xfId="30" applyNumberFormat="1" applyFont="1" applyBorder="1" applyAlignment="1">
      <alignment horizontal="centerContinuous"/>
    </xf>
    <xf numFmtId="0" fontId="12" fillId="0" borderId="10" xfId="30" applyFont="1" applyBorder="1" applyAlignment="1">
      <alignment horizontal="centerContinuous"/>
    </xf>
    <xf numFmtId="0" fontId="12" fillId="0" borderId="11" xfId="30" applyFont="1" applyBorder="1" applyAlignment="1">
      <alignment horizontal="centerContinuous"/>
    </xf>
    <xf numFmtId="0" fontId="13" fillId="0" borderId="1" xfId="30" applyFont="1" applyBorder="1" applyAlignment="1">
      <alignment horizontal="right"/>
    </xf>
    <xf numFmtId="0" fontId="13" fillId="0" borderId="4" xfId="30" applyFont="1" applyBorder="1" applyAlignment="1">
      <alignment horizontal="right"/>
    </xf>
    <xf numFmtId="0" fontId="13" fillId="0" borderId="3" xfId="30" applyNumberFormat="1" applyFont="1" applyBorder="1" applyProtection="1">
      <alignment/>
      <protection locked="0"/>
    </xf>
    <xf numFmtId="175" fontId="13" fillId="0" borderId="0" xfId="30" applyNumberFormat="1" applyFont="1" applyBorder="1">
      <alignment/>
    </xf>
    <xf numFmtId="0" fontId="13" fillId="0" borderId="6" xfId="30" applyNumberFormat="1" applyFont="1" applyFill="1" applyBorder="1" applyProtection="1">
      <alignment/>
      <protection locked="0"/>
    </xf>
    <xf numFmtId="14" fontId="13" fillId="0" borderId="8" xfId="30" applyNumberFormat="1" applyFont="1" applyBorder="1" applyAlignment="1" quotePrefix="1">
      <alignment horizontal="left"/>
    </xf>
    <xf numFmtId="14" fontId="13" fillId="0" borderId="6" xfId="30" applyNumberFormat="1" applyFont="1" applyBorder="1" applyAlignment="1">
      <alignment horizontal="left"/>
    </xf>
    <xf numFmtId="0" fontId="12" fillId="0" borderId="1" xfId="31" applyNumberFormat="1" applyFont="1" applyBorder="1" applyProtection="1">
      <alignment/>
      <protection locked="0"/>
    </xf>
    <xf numFmtId="0" fontId="13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13" fillId="0" borderId="2" xfId="31" applyNumberFormat="1" applyFont="1" applyBorder="1" applyProtection="1">
      <alignment/>
      <protection locked="0"/>
    </xf>
    <xf numFmtId="0" fontId="13" fillId="0" borderId="3" xfId="31" applyFont="1" applyBorder="1" applyAlignment="1">
      <alignment horizontal="right"/>
    </xf>
    <xf numFmtId="0" fontId="13" fillId="0" borderId="0" xfId="31" applyFont="1">
      <alignment/>
    </xf>
    <xf numFmtId="0" fontId="12" fillId="0" borderId="4" xfId="31" applyNumberFormat="1" applyFont="1" applyBorder="1" applyProtection="1">
      <alignment/>
      <protection locked="0"/>
    </xf>
    <xf numFmtId="0" fontId="13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13" fillId="0" borderId="0" xfId="31" applyNumberFormat="1" applyFont="1" applyBorder="1" applyProtection="1">
      <alignment/>
      <protection locked="0"/>
    </xf>
    <xf numFmtId="0" fontId="13" fillId="0" borderId="5" xfId="31" applyFont="1" applyBorder="1">
      <alignment/>
    </xf>
    <xf numFmtId="0" fontId="14" fillId="0" borderId="8" xfId="31" applyFont="1" applyBorder="1">
      <alignment/>
    </xf>
    <xf numFmtId="0" fontId="13" fillId="0" borderId="6" xfId="31" applyFont="1" applyBorder="1">
      <alignment/>
    </xf>
    <xf numFmtId="0" fontId="13" fillId="0" borderId="6" xfId="31" applyNumberFormat="1" applyFont="1" applyBorder="1" applyProtection="1">
      <alignment/>
      <protection locked="0"/>
    </xf>
    <xf numFmtId="0" fontId="13" fillId="0" borderId="7" xfId="31" applyNumberFormat="1" applyFont="1" applyBorder="1" applyProtection="1">
      <alignment/>
      <protection locked="0"/>
    </xf>
    <xf numFmtId="0" fontId="13" fillId="0" borderId="0" xfId="31" applyNumberFormat="1" applyFont="1" applyProtection="1">
      <alignment/>
      <protection locked="0"/>
    </xf>
    <xf numFmtId="0" fontId="13" fillId="0" borderId="0" xfId="31" applyNumberFormat="1" applyFont="1" applyAlignment="1" applyProtection="1">
      <alignment horizontal="right"/>
      <protection locked="0"/>
    </xf>
    <xf numFmtId="0" fontId="13" fillId="0" borderId="1" xfId="31" applyNumberFormat="1" applyFont="1" applyBorder="1" applyProtection="1">
      <alignment/>
      <protection locked="0"/>
    </xf>
    <xf numFmtId="0" fontId="13" fillId="0" borderId="3" xfId="31" applyFont="1" applyBorder="1">
      <alignment/>
    </xf>
    <xf numFmtId="0" fontId="13" fillId="0" borderId="2" xfId="31" applyNumberFormat="1" applyFont="1" applyBorder="1" applyAlignment="1" applyProtection="1">
      <alignment horizontal="right"/>
      <protection locked="0"/>
    </xf>
    <xf numFmtId="0" fontId="13" fillId="0" borderId="1" xfId="31" applyFont="1" applyBorder="1">
      <alignment/>
    </xf>
    <xf numFmtId="0" fontId="13" fillId="0" borderId="3" xfId="31" applyNumberFormat="1" applyFont="1" applyBorder="1" applyAlignment="1" applyProtection="1">
      <alignment horizontal="right"/>
      <protection locked="0"/>
    </xf>
    <xf numFmtId="0" fontId="16" fillId="0" borderId="4" xfId="31" applyFont="1" applyBorder="1">
      <alignment/>
    </xf>
    <xf numFmtId="0" fontId="12" fillId="0" borderId="5" xfId="31" applyFont="1" applyBorder="1">
      <alignment/>
    </xf>
    <xf numFmtId="0" fontId="13" fillId="0" borderId="4" xfId="31" applyFont="1" applyBorder="1">
      <alignment/>
    </xf>
    <xf numFmtId="0" fontId="13" fillId="0" borderId="0" xfId="31" applyNumberFormat="1" applyFont="1" applyBorder="1" applyAlignment="1" applyProtection="1">
      <alignment horizontal="right"/>
      <protection locked="0"/>
    </xf>
    <xf numFmtId="0" fontId="13" fillId="0" borderId="5" xfId="31" applyNumberFormat="1" applyFont="1" applyBorder="1" applyAlignment="1" applyProtection="1">
      <alignment horizontal="right"/>
      <protection locked="0"/>
    </xf>
    <xf numFmtId="0" fontId="13" fillId="0" borderId="8" xfId="31" applyFont="1" applyBorder="1">
      <alignment/>
    </xf>
    <xf numFmtId="0" fontId="13" fillId="0" borderId="7" xfId="31" applyFont="1" applyBorder="1">
      <alignment/>
    </xf>
    <xf numFmtId="0" fontId="13" fillId="0" borderId="8" xfId="31" applyNumberFormat="1" applyFont="1" applyBorder="1" applyAlignment="1" applyProtection="1">
      <alignment horizontal="right"/>
      <protection locked="0"/>
    </xf>
    <xf numFmtId="0" fontId="13" fillId="0" borderId="6" xfId="31" applyNumberFormat="1" applyFont="1" applyBorder="1" applyAlignment="1" applyProtection="1">
      <alignment horizontal="right"/>
      <protection locked="0"/>
    </xf>
    <xf numFmtId="0" fontId="13" fillId="0" borderId="8" xfId="31" applyFont="1" applyBorder="1" applyAlignment="1">
      <alignment vertical="center"/>
    </xf>
    <xf numFmtId="0" fontId="13" fillId="0" borderId="6" xfId="31" applyNumberFormat="1" applyFont="1" applyBorder="1" applyAlignment="1" applyProtection="1">
      <alignment vertical="center"/>
      <protection locked="0"/>
    </xf>
    <xf numFmtId="0" fontId="13" fillId="0" borderId="8" xfId="31" applyNumberFormat="1" applyFont="1" applyBorder="1" applyAlignment="1" applyProtection="1">
      <alignment vertical="center"/>
      <protection locked="0"/>
    </xf>
    <xf numFmtId="175" fontId="13" fillId="0" borderId="6" xfId="31" applyNumberFormat="1" applyFont="1" applyBorder="1" applyAlignment="1" applyProtection="1">
      <alignment vertical="center"/>
      <protection locked="0"/>
    </xf>
    <xf numFmtId="0" fontId="16" fillId="0" borderId="4" xfId="31" applyNumberFormat="1" applyFont="1" applyBorder="1" applyProtection="1" quotePrefix="1">
      <alignment/>
      <protection locked="0"/>
    </xf>
    <xf numFmtId="0" fontId="16" fillId="0" borderId="0" xfId="31" applyNumberFormat="1" applyFont="1" applyBorder="1" applyProtection="1">
      <alignment/>
      <protection locked="0"/>
    </xf>
    <xf numFmtId="0" fontId="13" fillId="0" borderId="4" xfId="31" applyNumberFormat="1" applyFont="1" applyBorder="1" applyProtection="1">
      <alignment/>
      <protection locked="0"/>
    </xf>
    <xf numFmtId="175" fontId="13" fillId="0" borderId="0" xfId="31" applyNumberFormat="1" applyFont="1" applyBorder="1" applyProtection="1">
      <alignment/>
      <protection locked="0"/>
    </xf>
    <xf numFmtId="0" fontId="13" fillId="0" borderId="4" xfId="31" applyFont="1" applyBorder="1" applyAlignment="1">
      <alignment horizontal="right"/>
    </xf>
    <xf numFmtId="175" fontId="13" fillId="0" borderId="0" xfId="31" applyNumberFormat="1" applyFont="1">
      <alignment/>
    </xf>
    <xf numFmtId="0" fontId="13" fillId="0" borderId="12" xfId="31" applyFont="1" applyBorder="1">
      <alignment/>
    </xf>
    <xf numFmtId="0" fontId="13" fillId="0" borderId="13" xfId="31" applyNumberFormat="1" applyFont="1" applyBorder="1" applyProtection="1">
      <alignment/>
      <protection locked="0"/>
    </xf>
    <xf numFmtId="0" fontId="13" fillId="0" borderId="12" xfId="31" applyNumberFormat="1" applyFont="1" applyBorder="1" applyProtection="1">
      <alignment/>
      <protection locked="0"/>
    </xf>
    <xf numFmtId="175" fontId="13" fillId="0" borderId="13" xfId="31" applyNumberFormat="1" applyFont="1" applyBorder="1" applyProtection="1">
      <alignment/>
      <protection locked="0"/>
    </xf>
    <xf numFmtId="0" fontId="13" fillId="0" borderId="13" xfId="31" applyNumberFormat="1" applyFont="1" applyBorder="1" applyAlignment="1" applyProtection="1">
      <alignment horizontal="right"/>
      <protection locked="0"/>
    </xf>
    <xf numFmtId="0" fontId="13" fillId="0" borderId="4" xfId="31" applyNumberFormat="1" applyFont="1" applyBorder="1" applyAlignment="1" applyProtection="1">
      <alignment horizontal="right"/>
      <protection locked="0"/>
    </xf>
    <xf numFmtId="175" fontId="13" fillId="0" borderId="0" xfId="31" applyNumberFormat="1" applyFont="1" applyBorder="1">
      <alignment/>
    </xf>
    <xf numFmtId="0" fontId="13" fillId="0" borderId="0" xfId="31" applyNumberFormat="1" applyFont="1" applyBorder="1" applyAlignment="1" applyProtection="1">
      <alignment horizontal="left"/>
      <protection locked="0"/>
    </xf>
    <xf numFmtId="0" fontId="13" fillId="0" borderId="14" xfId="31" applyNumberFormat="1" applyFont="1" applyBorder="1" applyAlignment="1" applyProtection="1">
      <alignment horizontal="right"/>
      <protection locked="0"/>
    </xf>
    <xf numFmtId="0" fontId="13" fillId="0" borderId="13" xfId="31" applyFont="1" applyBorder="1">
      <alignment/>
    </xf>
    <xf numFmtId="0" fontId="13" fillId="0" borderId="14" xfId="31" applyFont="1" applyBorder="1">
      <alignment/>
    </xf>
    <xf numFmtId="175" fontId="12" fillId="0" borderId="2" xfId="31" applyNumberFormat="1" applyFont="1" applyBorder="1" applyProtection="1">
      <alignment/>
      <protection locked="0"/>
    </xf>
    <xf numFmtId="0" fontId="13" fillId="0" borderId="8" xfId="31" applyNumberFormat="1" applyFont="1" applyBorder="1" applyProtection="1">
      <alignment/>
      <protection locked="0"/>
    </xf>
    <xf numFmtId="175" fontId="13" fillId="0" borderId="6" xfId="31" applyNumberFormat="1" applyFont="1" applyBorder="1" applyProtection="1">
      <alignment/>
      <protection locked="0"/>
    </xf>
    <xf numFmtId="0" fontId="13" fillId="0" borderId="7" xfId="31" applyNumberFormat="1" applyFont="1" applyBorder="1" applyAlignment="1" applyProtection="1">
      <alignment horizontal="right"/>
      <protection locked="0"/>
    </xf>
    <xf numFmtId="0" fontId="16" fillId="0" borderId="1" xfId="31" applyFont="1" applyBorder="1" quotePrefix="1">
      <alignment/>
    </xf>
    <xf numFmtId="0" fontId="16" fillId="0" borderId="3" xfId="31" applyNumberFormat="1" applyFont="1" applyBorder="1" applyProtection="1">
      <alignment/>
      <protection locked="0"/>
    </xf>
    <xf numFmtId="175" fontId="13" fillId="0" borderId="2" xfId="31" applyNumberFormat="1" applyFont="1" applyBorder="1" applyProtection="1">
      <alignment/>
      <protection locked="0"/>
    </xf>
    <xf numFmtId="175" fontId="13" fillId="0" borderId="2" xfId="31" applyNumberFormat="1" applyFont="1" applyBorder="1" applyAlignment="1" applyProtection="1">
      <alignment horizontal="right"/>
      <protection locked="0"/>
    </xf>
    <xf numFmtId="0" fontId="13" fillId="0" borderId="5" xfId="31" applyNumberFormat="1" applyFont="1" applyBorder="1" applyProtection="1">
      <alignment/>
      <protection locked="0"/>
    </xf>
    <xf numFmtId="175" fontId="13" fillId="0" borderId="0" xfId="31" applyNumberFormat="1" applyFont="1" applyBorder="1" applyAlignment="1" applyProtection="1">
      <alignment horizontal="right"/>
      <protection locked="0"/>
    </xf>
    <xf numFmtId="0" fontId="16" fillId="0" borderId="5" xfId="31" applyNumberFormat="1" applyFont="1" applyBorder="1" applyProtection="1">
      <alignment/>
      <protection locked="0"/>
    </xf>
    <xf numFmtId="175" fontId="13" fillId="0" borderId="3" xfId="31" applyNumberFormat="1" applyFont="1" applyBorder="1" applyAlignment="1" applyProtection="1">
      <alignment horizontal="right"/>
      <protection locked="0"/>
    </xf>
    <xf numFmtId="175" fontId="13" fillId="0" borderId="5" xfId="31" applyNumberFormat="1" applyFont="1" applyBorder="1" applyProtection="1">
      <alignment/>
      <protection locked="0"/>
    </xf>
    <xf numFmtId="0" fontId="13" fillId="0" borderId="14" xfId="31" applyNumberFormat="1" applyFont="1" applyBorder="1" applyProtection="1">
      <alignment/>
      <protection locked="0"/>
    </xf>
    <xf numFmtId="175" fontId="13" fillId="0" borderId="5" xfId="31" applyNumberFormat="1" applyFont="1" applyBorder="1" applyAlignment="1" applyProtection="1">
      <alignment horizontal="right"/>
      <protection locked="0"/>
    </xf>
    <xf numFmtId="0" fontId="12" fillId="0" borderId="9" xfId="31" applyFont="1" applyBorder="1" applyAlignment="1">
      <alignment horizontal="centerContinuous" vertical="center"/>
    </xf>
    <xf numFmtId="0" fontId="12" fillId="0" borderId="10" xfId="31" applyFont="1" applyBorder="1" applyAlignment="1">
      <alignment horizontal="centerContinuous" vertical="center"/>
    </xf>
    <xf numFmtId="0" fontId="16" fillId="0" borderId="1" xfId="31" applyFont="1" applyBorder="1" applyAlignment="1">
      <alignment horizontal="right"/>
    </xf>
    <xf numFmtId="0" fontId="13" fillId="0" borderId="2" xfId="31" applyFont="1" applyBorder="1" applyAlignment="1">
      <alignment horizontal="right"/>
    </xf>
    <xf numFmtId="0" fontId="16" fillId="0" borderId="4" xfId="31" applyFont="1" applyBorder="1" applyAlignment="1">
      <alignment horizontal="right"/>
    </xf>
    <xf numFmtId="0" fontId="13" fillId="0" borderId="0" xfId="31" applyFont="1" applyBorder="1" applyAlignment="1">
      <alignment horizontal="right"/>
    </xf>
    <xf numFmtId="0" fontId="13" fillId="0" borderId="8" xfId="31" applyFont="1" applyBorder="1" applyAlignment="1">
      <alignment horizontal="right"/>
    </xf>
    <xf numFmtId="0" fontId="13" fillId="0" borderId="6" xfId="31" applyFont="1" applyBorder="1" applyAlignment="1">
      <alignment horizontal="right"/>
    </xf>
    <xf numFmtId="0" fontId="13" fillId="0" borderId="9" xfId="31" applyNumberFormat="1" applyFont="1" applyBorder="1" applyAlignment="1" applyProtection="1">
      <alignment vertical="center"/>
      <protection locked="0"/>
    </xf>
    <xf numFmtId="0" fontId="13" fillId="0" borderId="10" xfId="31" applyNumberFormat="1" applyFont="1" applyBorder="1" applyAlignment="1" applyProtection="1">
      <alignment vertical="center"/>
      <protection locked="0"/>
    </xf>
    <xf numFmtId="175" fontId="13" fillId="0" borderId="10" xfId="31" applyNumberFormat="1" applyFont="1" applyBorder="1" applyAlignment="1" applyProtection="1">
      <alignment vertical="center"/>
      <protection locked="0"/>
    </xf>
    <xf numFmtId="0" fontId="13" fillId="0" borderId="11" xfId="31" applyFont="1" applyBorder="1" applyAlignment="1">
      <alignment vertical="center"/>
    </xf>
    <xf numFmtId="175" fontId="13" fillId="0" borderId="5" xfId="31" applyNumberFormat="1" applyFont="1" applyBorder="1">
      <alignment/>
    </xf>
    <xf numFmtId="175" fontId="13" fillId="0" borderId="2" xfId="31" applyNumberFormat="1" applyFont="1" applyBorder="1">
      <alignment/>
    </xf>
    <xf numFmtId="0" fontId="16" fillId="0" borderId="1" xfId="31" applyNumberFormat="1" applyFont="1" applyBorder="1" applyProtection="1">
      <alignment/>
      <protection locked="0"/>
    </xf>
    <xf numFmtId="175" fontId="16" fillId="0" borderId="2" xfId="31" applyNumberFormat="1" applyFont="1" applyBorder="1" applyProtection="1">
      <alignment/>
      <protection locked="0"/>
    </xf>
    <xf numFmtId="0" fontId="12" fillId="0" borderId="11" xfId="31" applyFont="1" applyBorder="1" applyAlignment="1">
      <alignment horizontal="centerContinuous" vertical="center"/>
    </xf>
    <xf numFmtId="0" fontId="13" fillId="0" borderId="5" xfId="31" applyFont="1" applyBorder="1" applyAlignment="1">
      <alignment horizontal="right"/>
    </xf>
    <xf numFmtId="0" fontId="13" fillId="0" borderId="7" xfId="31" applyFont="1" applyBorder="1" applyAlignment="1">
      <alignment horizontal="right"/>
    </xf>
    <xf numFmtId="175" fontId="12" fillId="0" borderId="10" xfId="31" applyNumberFormat="1" applyFont="1" applyBorder="1" applyAlignment="1">
      <alignment horizontal="centerContinuous" vertical="center"/>
    </xf>
    <xf numFmtId="175" fontId="12" fillId="0" borderId="11" xfId="31" applyNumberFormat="1" applyFont="1" applyBorder="1" applyAlignment="1">
      <alignment horizontal="centerContinuous" vertical="center"/>
    </xf>
    <xf numFmtId="0" fontId="13" fillId="0" borderId="0" xfId="31" applyFont="1" applyAlignment="1">
      <alignment horizontal="right"/>
    </xf>
    <xf numFmtId="0" fontId="25" fillId="0" borderId="0" xfId="31" applyFont="1" applyAlignment="1">
      <alignment horizontal="right"/>
    </xf>
    <xf numFmtId="175" fontId="13" fillId="0" borderId="11" xfId="31" applyNumberFormat="1" applyFont="1" applyBorder="1" applyAlignment="1" applyProtection="1">
      <alignment vertical="center"/>
      <protection locked="0"/>
    </xf>
    <xf numFmtId="0" fontId="13" fillId="0" borderId="10" xfId="31" applyFont="1" applyBorder="1" applyAlignment="1">
      <alignment vertical="center"/>
    </xf>
    <xf numFmtId="175" fontId="13" fillId="0" borderId="6" xfId="31" applyNumberFormat="1" applyFont="1" applyBorder="1">
      <alignment/>
    </xf>
    <xf numFmtId="175" fontId="13" fillId="0" borderId="7" xfId="31" applyNumberFormat="1" applyFont="1" applyBorder="1">
      <alignment/>
    </xf>
    <xf numFmtId="175" fontId="13" fillId="0" borderId="3" xfId="31" applyNumberFormat="1" applyFont="1" applyBorder="1">
      <alignment/>
    </xf>
    <xf numFmtId="0" fontId="13" fillId="0" borderId="15" xfId="31" applyFont="1" applyBorder="1">
      <alignment/>
    </xf>
    <xf numFmtId="0" fontId="13" fillId="0" borderId="16" xfId="31" applyFont="1" applyBorder="1">
      <alignment/>
    </xf>
    <xf numFmtId="175" fontId="13" fillId="0" borderId="16" xfId="31" applyNumberFormat="1" applyFont="1" applyBorder="1">
      <alignment/>
    </xf>
    <xf numFmtId="175" fontId="13" fillId="0" borderId="17" xfId="31" applyNumberFormat="1" applyFont="1" applyBorder="1">
      <alignment/>
    </xf>
    <xf numFmtId="0" fontId="13" fillId="0" borderId="9" xfId="31" applyFont="1" applyBorder="1">
      <alignment/>
    </xf>
    <xf numFmtId="0" fontId="13" fillId="0" borderId="10" xfId="31" applyFont="1" applyBorder="1">
      <alignment/>
    </xf>
    <xf numFmtId="175" fontId="13" fillId="0" borderId="10" xfId="31" applyNumberFormat="1" applyFont="1" applyBorder="1">
      <alignment/>
    </xf>
    <xf numFmtId="175" fontId="13" fillId="0" borderId="11" xfId="31" applyNumberFormat="1" applyFont="1" applyBorder="1">
      <alignment/>
    </xf>
    <xf numFmtId="0" fontId="13" fillId="0" borderId="0" xfId="31" applyFont="1" applyBorder="1" quotePrefix="1">
      <alignment/>
    </xf>
    <xf numFmtId="175" fontId="13" fillId="0" borderId="0" xfId="31" applyNumberFormat="1" applyFont="1" applyProtection="1">
      <alignment/>
      <protection locked="0"/>
    </xf>
    <xf numFmtId="0" fontId="19" fillId="0" borderId="0" xfId="24" applyFont="1" applyProtection="1">
      <alignment/>
      <protection locked="0"/>
    </xf>
    <xf numFmtId="0" fontId="31" fillId="0" borderId="0" xfId="32" applyFont="1" applyBorder="1">
      <alignment/>
      <protection/>
    </xf>
    <xf numFmtId="0" fontId="31" fillId="0" borderId="0" xfId="32" applyFont="1">
      <alignment/>
      <protection/>
    </xf>
    <xf numFmtId="0" fontId="19" fillId="0" borderId="0" xfId="32" applyFont="1">
      <alignment/>
      <protection/>
    </xf>
    <xf numFmtId="0" fontId="31" fillId="0" borderId="0" xfId="23" applyNumberFormat="1" applyFont="1" applyProtection="1">
      <alignment/>
      <protection locked="0"/>
    </xf>
    <xf numFmtId="0" fontId="31" fillId="0" borderId="0" xfId="24" applyNumberFormat="1" applyFont="1" applyBorder="1" applyProtection="1">
      <alignment/>
      <protection locked="0"/>
    </xf>
    <xf numFmtId="0" fontId="31" fillId="0" borderId="0" xfId="28" applyFont="1" applyBorder="1">
      <alignment/>
    </xf>
    <xf numFmtId="0" fontId="31" fillId="0" borderId="0" xfId="30" applyFont="1" applyBorder="1">
      <alignment/>
    </xf>
    <xf numFmtId="0" fontId="31" fillId="0" borderId="0" xfId="31" applyFont="1" applyBorder="1">
      <alignment/>
    </xf>
    <xf numFmtId="0" fontId="13" fillId="0" borderId="0" xfId="23" applyFont="1">
      <alignment/>
    </xf>
    <xf numFmtId="0" fontId="38" fillId="0" borderId="0" xfId="23" applyFont="1" applyAlignment="1">
      <alignment vertical="top"/>
    </xf>
    <xf numFmtId="0" fontId="19" fillId="0" borderId="0" xfId="23" applyFont="1" applyProtection="1">
      <alignment/>
      <protection locked="0"/>
    </xf>
    <xf numFmtId="0" fontId="13" fillId="0" borderId="0" xfId="23" applyNumberFormat="1" applyFont="1" applyProtection="1">
      <alignment/>
      <protection locked="0"/>
    </xf>
    <xf numFmtId="0" fontId="19" fillId="0" borderId="0" xfId="23" applyNumberFormat="1" applyFont="1" applyProtection="1">
      <alignment/>
      <protection locked="0"/>
    </xf>
    <xf numFmtId="0" fontId="39" fillId="0" borderId="0" xfId="23" applyNumberFormat="1" applyFont="1" applyProtection="1">
      <alignment/>
      <protection locked="0"/>
    </xf>
    <xf numFmtId="0" fontId="38" fillId="0" borderId="0" xfId="23" applyFont="1">
      <alignment/>
    </xf>
    <xf numFmtId="0" fontId="38" fillId="0" borderId="1" xfId="23" applyFont="1" applyBorder="1">
      <alignment/>
    </xf>
    <xf numFmtId="0" fontId="38" fillId="0" borderId="2" xfId="23" applyFont="1" applyBorder="1">
      <alignment/>
    </xf>
    <xf numFmtId="0" fontId="38" fillId="0" borderId="3" xfId="23" applyFont="1" applyBorder="1">
      <alignment/>
    </xf>
    <xf numFmtId="0" fontId="38" fillId="0" borderId="0" xfId="23" applyFont="1" applyBorder="1">
      <alignment/>
    </xf>
    <xf numFmtId="0" fontId="38" fillId="0" borderId="0" xfId="23" applyNumberFormat="1" applyFont="1" applyBorder="1" applyAlignment="1" applyProtection="1">
      <alignment horizontal="left"/>
      <protection locked="0"/>
    </xf>
    <xf numFmtId="0" fontId="38" fillId="0" borderId="4" xfId="23" applyFont="1" applyBorder="1">
      <alignment/>
    </xf>
    <xf numFmtId="0" fontId="38" fillId="0" borderId="8" xfId="23" applyNumberFormat="1" applyFont="1" applyBorder="1" applyProtection="1">
      <alignment/>
      <protection locked="0"/>
    </xf>
    <xf numFmtId="0" fontId="38" fillId="0" borderId="7" xfId="23" applyNumberFormat="1" applyFont="1" applyBorder="1" applyProtection="1">
      <alignment/>
      <protection locked="0"/>
    </xf>
    <xf numFmtId="0" fontId="38" fillId="0" borderId="0" xfId="23" applyNumberFormat="1" applyFont="1" applyBorder="1" applyProtection="1">
      <alignment/>
      <protection locked="0"/>
    </xf>
    <xf numFmtId="3" fontId="38" fillId="0" borderId="18" xfId="23" applyNumberFormat="1" applyFont="1" applyBorder="1" applyProtection="1">
      <alignment/>
      <protection locked="0"/>
    </xf>
    <xf numFmtId="0" fontId="38" fillId="0" borderId="1" xfId="23" applyNumberFormat="1" applyFont="1" applyBorder="1" applyProtection="1">
      <alignment/>
      <protection locked="0"/>
    </xf>
    <xf numFmtId="3" fontId="38" fillId="0" borderId="3" xfId="23" applyNumberFormat="1" applyFont="1" applyBorder="1" applyProtection="1">
      <alignment/>
      <protection locked="0"/>
    </xf>
    <xf numFmtId="3" fontId="38" fillId="0" borderId="0" xfId="23" applyNumberFormat="1" applyFont="1" applyBorder="1" applyProtection="1">
      <alignment/>
      <protection locked="0"/>
    </xf>
    <xf numFmtId="0" fontId="38" fillId="0" borderId="19" xfId="23" applyNumberFormat="1" applyFont="1" applyBorder="1" applyAlignment="1" applyProtection="1">
      <alignment horizontal="left"/>
      <protection locked="0"/>
    </xf>
    <xf numFmtId="0" fontId="38" fillId="0" borderId="5" xfId="23" applyFont="1" applyBorder="1">
      <alignment/>
    </xf>
    <xf numFmtId="0" fontId="38" fillId="0" borderId="19" xfId="23" applyNumberFormat="1" applyFont="1" applyBorder="1" applyAlignment="1" applyProtection="1">
      <alignment horizontal="right"/>
      <protection locked="0"/>
    </xf>
    <xf numFmtId="174" fontId="38" fillId="0" borderId="4" xfId="23" applyNumberFormat="1" applyFont="1" applyBorder="1" applyAlignment="1">
      <alignment horizontal="right"/>
    </xf>
    <xf numFmtId="3" fontId="38" fillId="0" borderId="20" xfId="23" applyNumberFormat="1" applyFont="1" applyBorder="1" applyProtection="1">
      <alignment/>
      <protection locked="0"/>
    </xf>
    <xf numFmtId="3" fontId="38" fillId="0" borderId="7" xfId="23" applyNumberFormat="1" applyFont="1" applyBorder="1" applyProtection="1">
      <alignment/>
      <protection locked="0"/>
    </xf>
    <xf numFmtId="0" fontId="38" fillId="0" borderId="19" xfId="23" applyFont="1" applyBorder="1">
      <alignment/>
    </xf>
    <xf numFmtId="3" fontId="38" fillId="0" borderId="19" xfId="23" applyNumberFormat="1" applyFont="1" applyBorder="1" applyAlignment="1" applyProtection="1">
      <alignment horizontal="right"/>
      <protection locked="0"/>
    </xf>
    <xf numFmtId="174" fontId="38" fillId="0" borderId="4" xfId="23" applyNumberFormat="1" applyFont="1" applyBorder="1" applyAlignment="1" applyProtection="1">
      <alignment horizontal="right"/>
      <protection locked="0"/>
    </xf>
    <xf numFmtId="3" fontId="38" fillId="0" borderId="4" xfId="23" applyNumberFormat="1" applyFont="1" applyBorder="1" applyProtection="1">
      <alignment/>
      <protection locked="0"/>
    </xf>
    <xf numFmtId="3" fontId="38" fillId="0" borderId="8" xfId="23" applyNumberFormat="1" applyFont="1" applyBorder="1" applyProtection="1">
      <alignment/>
      <protection locked="0"/>
    </xf>
    <xf numFmtId="0" fontId="15" fillId="0" borderId="0" xfId="23" applyFont="1">
      <alignment/>
    </xf>
    <xf numFmtId="173" fontId="13" fillId="0" borderId="0" xfId="23" applyNumberFormat="1" applyFont="1" applyProtection="1">
      <alignment/>
      <protection locked="0"/>
    </xf>
    <xf numFmtId="0" fontId="15" fillId="0" borderId="0" xfId="23" applyFont="1" applyAlignment="1">
      <alignment horizontal="left"/>
    </xf>
    <xf numFmtId="0" fontId="38" fillId="0" borderId="19" xfId="23" applyFont="1" applyBorder="1" applyAlignment="1">
      <alignment horizontal="right"/>
    </xf>
    <xf numFmtId="0" fontId="15" fillId="0" borderId="0" xfId="23" applyFont="1" applyAlignment="1">
      <alignment horizontal="center"/>
    </xf>
    <xf numFmtId="0" fontId="38" fillId="0" borderId="8" xfId="23" applyFont="1" applyBorder="1">
      <alignment/>
    </xf>
    <xf numFmtId="0" fontId="38" fillId="0" borderId="19" xfId="23" applyNumberFormat="1" applyFont="1" applyBorder="1" applyProtection="1">
      <alignment/>
      <protection locked="0"/>
    </xf>
    <xf numFmtId="0" fontId="38" fillId="0" borderId="4" xfId="23" applyNumberFormat="1" applyFont="1" applyBorder="1" applyProtection="1">
      <alignment/>
      <protection locked="0"/>
    </xf>
    <xf numFmtId="10" fontId="38" fillId="0" borderId="5" xfId="23" applyNumberFormat="1" applyFont="1" applyBorder="1" applyProtection="1">
      <alignment/>
      <protection locked="0"/>
    </xf>
    <xf numFmtId="10" fontId="38" fillId="0" borderId="0" xfId="23" applyNumberFormat="1" applyFont="1" applyBorder="1" applyProtection="1">
      <alignment/>
      <protection locked="0"/>
    </xf>
    <xf numFmtId="0" fontId="38" fillId="0" borderId="20" xfId="23" applyNumberFormat="1" applyFont="1" applyBorder="1" applyProtection="1">
      <alignment/>
      <protection locked="0"/>
    </xf>
    <xf numFmtId="10" fontId="38" fillId="0" borderId="7" xfId="23" applyNumberFormat="1" applyFont="1" applyBorder="1" applyProtection="1">
      <alignment/>
      <protection locked="0"/>
    </xf>
    <xf numFmtId="3" fontId="13" fillId="0" borderId="0" xfId="23" applyNumberFormat="1" applyFont="1" applyAlignment="1" applyProtection="1">
      <alignment horizontal="right"/>
      <protection locked="0"/>
    </xf>
    <xf numFmtId="3" fontId="13" fillId="0" borderId="0" xfId="23" applyNumberFormat="1" applyFont="1" applyProtection="1">
      <alignment/>
      <protection locked="0"/>
    </xf>
    <xf numFmtId="172" fontId="13" fillId="0" borderId="0" xfId="23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38" fillId="0" borderId="0" xfId="24" applyFont="1" applyAlignment="1">
      <alignment horizontal="right"/>
    </xf>
    <xf numFmtId="0" fontId="13" fillId="0" borderId="0" xfId="24" applyFont="1">
      <alignment/>
    </xf>
    <xf numFmtId="0" fontId="19" fillId="0" borderId="0" xfId="24" applyNumberFormat="1" applyFont="1" applyProtection="1">
      <alignment/>
      <protection locked="0"/>
    </xf>
    <xf numFmtId="0" fontId="39" fillId="0" borderId="0" xfId="24" applyNumberFormat="1" applyFont="1" applyProtection="1">
      <alignment/>
      <protection locked="0"/>
    </xf>
    <xf numFmtId="0" fontId="13" fillId="0" borderId="1" xfId="24" applyNumberFormat="1" applyFont="1" applyBorder="1" applyProtection="1">
      <alignment/>
      <protection locked="0"/>
    </xf>
    <xf numFmtId="0" fontId="13" fillId="0" borderId="2" xfId="24" applyNumberFormat="1" applyFont="1" applyBorder="1" applyProtection="1">
      <alignment/>
      <protection locked="0"/>
    </xf>
    <xf numFmtId="0" fontId="13" fillId="0" borderId="3" xfId="24" applyNumberFormat="1" applyFont="1" applyBorder="1" applyProtection="1">
      <alignment/>
      <protection locked="0"/>
    </xf>
    <xf numFmtId="0" fontId="13" fillId="0" borderId="1" xfId="24" applyFont="1" applyBorder="1">
      <alignment/>
    </xf>
    <xf numFmtId="0" fontId="13" fillId="0" borderId="2" xfId="24" applyNumberFormat="1" applyFont="1" applyBorder="1" applyAlignment="1" applyProtection="1">
      <alignment horizontal="centerContinuous"/>
      <protection locked="0"/>
    </xf>
    <xf numFmtId="0" fontId="13" fillId="0" borderId="3" xfId="24" applyFont="1" applyBorder="1" applyAlignment="1">
      <alignment horizontal="centerContinuous"/>
    </xf>
    <xf numFmtId="1" fontId="13" fillId="0" borderId="0" xfId="24" applyNumberFormat="1" applyFont="1">
      <alignment/>
    </xf>
    <xf numFmtId="0" fontId="13" fillId="0" borderId="8" xfId="24" applyNumberFormat="1" applyFont="1" applyBorder="1" applyProtection="1">
      <alignment/>
      <protection locked="0"/>
    </xf>
    <xf numFmtId="0" fontId="13" fillId="0" borderId="6" xfId="24" applyNumberFormat="1" applyFont="1" applyBorder="1" applyProtection="1">
      <alignment/>
      <protection locked="0"/>
    </xf>
    <xf numFmtId="0" fontId="13" fillId="0" borderId="7" xfId="24" applyNumberFormat="1" applyFont="1" applyBorder="1" applyProtection="1">
      <alignment/>
      <protection locked="0"/>
    </xf>
    <xf numFmtId="0" fontId="13" fillId="0" borderId="8" xfId="24" applyFont="1" applyBorder="1">
      <alignment/>
    </xf>
    <xf numFmtId="0" fontId="13" fillId="0" borderId="6" xfId="24" applyNumberFormat="1" applyFont="1" applyBorder="1" applyAlignment="1" applyProtection="1">
      <alignment horizontal="centerContinuous"/>
      <protection locked="0"/>
    </xf>
    <xf numFmtId="0" fontId="13" fillId="0" borderId="7" xfId="24" applyFont="1" applyBorder="1" applyAlignment="1">
      <alignment horizontal="centerContinuous"/>
    </xf>
    <xf numFmtId="0" fontId="13" fillId="0" borderId="8" xfId="24" applyNumberFormat="1" applyFont="1" applyBorder="1" applyAlignment="1" applyProtection="1">
      <alignment horizontal="right"/>
      <protection locked="0"/>
    </xf>
    <xf numFmtId="0" fontId="13" fillId="0" borderId="6" xfId="24" applyNumberFormat="1" applyFont="1" applyBorder="1" applyAlignment="1" applyProtection="1">
      <alignment horizontal="right"/>
      <protection locked="0"/>
    </xf>
    <xf numFmtId="0" fontId="13" fillId="0" borderId="7" xfId="24" applyFont="1" applyBorder="1">
      <alignment/>
    </xf>
    <xf numFmtId="0" fontId="16" fillId="0" borderId="9" xfId="24" applyNumberFormat="1" applyFont="1" applyBorder="1" applyProtection="1">
      <alignment/>
      <protection locked="0"/>
    </xf>
    <xf numFmtId="173" fontId="13" fillId="0" borderId="6" xfId="24" applyNumberFormat="1" applyFont="1" applyBorder="1" applyProtection="1">
      <alignment/>
      <protection locked="0"/>
    </xf>
    <xf numFmtId="0" fontId="13" fillId="0" borderId="4" xfId="24" applyNumberFormat="1" applyFont="1" applyBorder="1" applyProtection="1">
      <alignment/>
      <protection locked="0"/>
    </xf>
    <xf numFmtId="173" fontId="13" fillId="0" borderId="0" xfId="24" applyNumberFormat="1" applyFont="1" applyProtection="1">
      <alignment/>
      <protection locked="0"/>
    </xf>
    <xf numFmtId="0" fontId="13" fillId="0" borderId="4" xfId="24" applyFont="1" applyBorder="1">
      <alignment/>
    </xf>
    <xf numFmtId="0" fontId="13" fillId="0" borderId="5" xfId="24" applyFont="1" applyBorder="1">
      <alignment/>
    </xf>
    <xf numFmtId="173" fontId="13" fillId="0" borderId="0" xfId="24" applyNumberFormat="1" applyFont="1">
      <alignment/>
    </xf>
    <xf numFmtId="173" fontId="15" fillId="0" borderId="0" xfId="24" applyNumberFormat="1" applyFont="1" applyProtection="1">
      <alignment/>
      <protection locked="0"/>
    </xf>
    <xf numFmtId="1" fontId="13" fillId="0" borderId="6" xfId="24" applyNumberFormat="1" applyFont="1" applyBorder="1" applyProtection="1">
      <alignment/>
      <protection locked="0"/>
    </xf>
    <xf numFmtId="0" fontId="13" fillId="0" borderId="4" xfId="24" applyNumberFormat="1" applyFont="1" applyBorder="1" applyAlignment="1" applyProtection="1">
      <alignment horizontal="right"/>
      <protection locked="0"/>
    </xf>
    <xf numFmtId="173" fontId="13" fillId="0" borderId="0" xfId="24" applyNumberFormat="1" applyFont="1" applyBorder="1" applyAlignment="1" applyProtection="1" quotePrefix="1">
      <alignment horizontal="center"/>
      <protection locked="0"/>
    </xf>
    <xf numFmtId="173" fontId="13" fillId="0" borderId="0" xfId="24" applyNumberFormat="1" applyFont="1" applyBorder="1" applyProtection="1">
      <alignment/>
      <protection locked="0"/>
    </xf>
    <xf numFmtId="0" fontId="13" fillId="0" borderId="2" xfId="24" applyNumberFormat="1" applyFont="1" applyBorder="1" applyAlignment="1" applyProtection="1">
      <alignment horizontal="right"/>
      <protection locked="0"/>
    </xf>
    <xf numFmtId="173" fontId="13" fillId="0" borderId="3" xfId="24" applyNumberFormat="1" applyFont="1" applyBorder="1" applyProtection="1">
      <alignment/>
      <protection locked="0"/>
    </xf>
    <xf numFmtId="181" fontId="13" fillId="0" borderId="6" xfId="17" applyNumberFormat="1" applyFont="1" applyBorder="1" applyAlignment="1" applyProtection="1" quotePrefix="1">
      <alignment horizontal="center"/>
      <protection locked="0"/>
    </xf>
    <xf numFmtId="181" fontId="13" fillId="0" borderId="6" xfId="17" applyNumberFormat="1" applyFont="1" applyBorder="1" applyAlignment="1" applyProtection="1">
      <alignment horizontal="center"/>
      <protection locked="0"/>
    </xf>
    <xf numFmtId="173" fontId="13" fillId="0" borderId="7" xfId="24" applyNumberFormat="1" applyFont="1" applyBorder="1" applyProtection="1">
      <alignment/>
      <protection locked="0"/>
    </xf>
    <xf numFmtId="1" fontId="38" fillId="0" borderId="0" xfId="0" applyNumberFormat="1" applyFont="1" applyAlignment="1">
      <alignment/>
    </xf>
    <xf numFmtId="0" fontId="13" fillId="0" borderId="19" xfId="24" applyNumberFormat="1" applyFont="1" applyBorder="1" applyProtection="1">
      <alignment/>
      <protection locked="0"/>
    </xf>
    <xf numFmtId="173" fontId="13" fillId="0" borderId="5" xfId="24" applyNumberFormat="1" applyFont="1" applyBorder="1" applyProtection="1">
      <alignment/>
      <protection locked="0"/>
    </xf>
    <xf numFmtId="0" fontId="13" fillId="0" borderId="20" xfId="24" applyNumberFormat="1" applyFont="1" applyBorder="1" applyProtection="1">
      <alignment/>
      <protection locked="0"/>
    </xf>
    <xf numFmtId="0" fontId="13" fillId="0" borderId="6" xfId="24" applyFont="1" applyBorder="1">
      <alignment/>
    </xf>
    <xf numFmtId="0" fontId="13" fillId="0" borderId="18" xfId="24" applyNumberFormat="1" applyFont="1" applyBorder="1" applyProtection="1">
      <alignment/>
      <protection locked="0"/>
    </xf>
    <xf numFmtId="0" fontId="13" fillId="0" borderId="0" xfId="24" applyNumberFormat="1" applyFont="1" applyAlignment="1" applyProtection="1">
      <alignment horizontal="right"/>
      <protection locked="0"/>
    </xf>
    <xf numFmtId="0" fontId="13" fillId="0" borderId="5" xfId="24" applyNumberFormat="1" applyFont="1" applyBorder="1" applyProtection="1">
      <alignment/>
      <protection locked="0"/>
    </xf>
    <xf numFmtId="172" fontId="13" fillId="0" borderId="0" xfId="24" applyNumberFormat="1" applyFont="1" applyProtection="1">
      <alignment/>
      <protection locked="0"/>
    </xf>
    <xf numFmtId="0" fontId="13" fillId="0" borderId="19" xfId="24" applyFont="1" applyBorder="1">
      <alignment/>
    </xf>
    <xf numFmtId="172" fontId="13" fillId="0" borderId="5" xfId="24" applyNumberFormat="1" applyFont="1" applyBorder="1" applyProtection="1">
      <alignment/>
      <protection locked="0"/>
    </xf>
    <xf numFmtId="0" fontId="13" fillId="0" borderId="20" xfId="24" applyFont="1" applyBorder="1">
      <alignment/>
    </xf>
    <xf numFmtId="0" fontId="13" fillId="0" borderId="2" xfId="24" applyFont="1" applyBorder="1">
      <alignment/>
    </xf>
    <xf numFmtId="0" fontId="13" fillId="0" borderId="3" xfId="24" applyFont="1" applyBorder="1">
      <alignment/>
    </xf>
    <xf numFmtId="14" fontId="15" fillId="0" borderId="4" xfId="24" applyNumberFormat="1" applyFont="1" applyBorder="1" applyAlignment="1" quotePrefix="1">
      <alignment horizontal="left"/>
    </xf>
    <xf numFmtId="0" fontId="13" fillId="0" borderId="0" xfId="24" applyFont="1" applyBorder="1">
      <alignment/>
    </xf>
    <xf numFmtId="169" fontId="13" fillId="0" borderId="0" xfId="24" applyNumberFormat="1" applyFont="1" applyAlignment="1" applyProtection="1">
      <alignment horizontal="left"/>
      <protection locked="0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22" xfId="26"/>
    <cellStyle name="Normal_PART32" xfId="27"/>
    <cellStyle name="Normal_PART4" xfId="28"/>
    <cellStyle name="Normal_PART42" xfId="29"/>
    <cellStyle name="Normal_PART5" xfId="30"/>
    <cellStyle name="Normal_PART6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0.06053268765133172</c:v>
                </c:pt>
                <c:pt idx="1">
                  <c:v>0.06779661016949153</c:v>
                </c:pt>
                <c:pt idx="2">
                  <c:v>0.1694915254237288</c:v>
                </c:pt>
                <c:pt idx="3">
                  <c:v>0.19854721549636803</c:v>
                </c:pt>
                <c:pt idx="4">
                  <c:v>0.2106537530266344</c:v>
                </c:pt>
                <c:pt idx="5">
                  <c:v>0.1016949152542373</c:v>
                </c:pt>
                <c:pt idx="6">
                  <c:v>0.19128329297820823</c:v>
                </c:pt>
              </c:numCache>
            </c:numRef>
          </c:val>
        </c:ser>
        <c:gapWidth val="60"/>
        <c:axId val="64179362"/>
        <c:axId val="40743347"/>
      </c:barChart>
      <c:catAx>
        <c:axId val="64179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743347"/>
        <c:crosses val="autoZero"/>
        <c:auto val="0"/>
        <c:lblOffset val="100"/>
        <c:noMultiLvlLbl val="0"/>
      </c:catAx>
      <c:valAx>
        <c:axId val="407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79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>
                <c:ptCount val="5"/>
                <c:pt idx="0">
                  <c:v>0.26479750778816197</c:v>
                </c:pt>
                <c:pt idx="1">
                  <c:v>0.4797507788161994</c:v>
                </c:pt>
                <c:pt idx="2">
                  <c:v>0.22118380062305296</c:v>
                </c:pt>
                <c:pt idx="3">
                  <c:v>0.03271028037383177</c:v>
                </c:pt>
                <c:pt idx="4">
                  <c:v>0.001557632398753894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580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0.4307931570762053</c:v>
                </c:pt>
                <c:pt idx="1">
                  <c:v>0.3608087091757387</c:v>
                </c:pt>
                <c:pt idx="2">
                  <c:v>0.17729393468118196</c:v>
                </c:pt>
                <c:pt idx="3">
                  <c:v>0.029548989113530325</c:v>
                </c:pt>
                <c:pt idx="4">
                  <c:v>0.0015552099533437014</c:v>
                </c:pt>
              </c:numCache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1"/>
        <c:majorTickMark val="out"/>
        <c:minorTickMark val="none"/>
        <c:tickLblPos val="nextTo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216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>
                <c:ptCount val="5"/>
                <c:pt idx="0">
                  <c:v>0.22706065318818042</c:v>
                </c:pt>
                <c:pt idx="1">
                  <c:v>0.416796267496112</c:v>
                </c:pt>
                <c:pt idx="2">
                  <c:v>0.27060653188180406</c:v>
                </c:pt>
                <c:pt idx="3">
                  <c:v>0.07620528771384137</c:v>
                </c:pt>
                <c:pt idx="4">
                  <c:v>0.00933125972006221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98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0.2332814930015552</c:v>
                </c:pt>
                <c:pt idx="1">
                  <c:v>0.5427682737169518</c:v>
                </c:pt>
                <c:pt idx="2">
                  <c:v>0.18040435458786935</c:v>
                </c:pt>
                <c:pt idx="3">
                  <c:v>0.041990668740279936</c:v>
                </c:pt>
                <c:pt idx="4">
                  <c:v>0.0015552099533437014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985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0.3161993769470405</c:v>
                </c:pt>
                <c:pt idx="1">
                  <c:v>0.4953271028037383</c:v>
                </c:pt>
                <c:pt idx="2">
                  <c:v>0.17133956386292834</c:v>
                </c:pt>
                <c:pt idx="3">
                  <c:v>0.01557632398753894</c:v>
                </c:pt>
                <c:pt idx="4">
                  <c:v>0.001557632398753894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0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0.223950233281493</c:v>
                </c:pt>
                <c:pt idx="1">
                  <c:v>0.52099533437014</c:v>
                </c:pt>
                <c:pt idx="2">
                  <c:v>0.2192846034214619</c:v>
                </c:pt>
                <c:pt idx="3">
                  <c:v>0.03421461897356143</c:v>
                </c:pt>
                <c:pt idx="4">
                  <c:v>0.0015552099533437014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8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0.4143302180685358</c:v>
                </c:pt>
                <c:pt idx="1">
                  <c:v>0.43457943925233644</c:v>
                </c:pt>
                <c:pt idx="2">
                  <c:v>0.1277258566978193</c:v>
                </c:pt>
                <c:pt idx="3">
                  <c:v>0.02336448598130841</c:v>
                </c:pt>
                <c:pt idx="4">
                  <c:v>0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delete val="1"/>
        <c:majorTickMark val="out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0.4165366614664587</c:v>
                </c:pt>
                <c:pt idx="1">
                  <c:v>0.43369734789391573</c:v>
                </c:pt>
                <c:pt idx="2">
                  <c:v>0.13416536661466458</c:v>
                </c:pt>
                <c:pt idx="3">
                  <c:v>0.015600624024960999</c:v>
                </c:pt>
                <c:pt idx="4">
                  <c:v>0</c:v>
                </c:pt>
              </c:numCache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1"/>
        <c:majorTickMark val="out"/>
        <c:minorTickMark val="none"/>
        <c:tickLblPos val="nextTo"/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21537138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2"/>
          <c:w val="0.71925"/>
          <c:h val="0.38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25"/>
          <c:w val="0.6957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75"/>
          <c:y val="0.28875"/>
          <c:w val="0.51675"/>
          <c:h val="0.47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75"/>
          <c:w val="0.72675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/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"/>
          <c:w val="0.958"/>
          <c:h val="0.7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PART6!$N$14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PART6!$O$14:$Z$14</c:f>
              <c:numCache>
                <c:ptCount val="12"/>
                <c:pt idx="0">
                  <c:v>0.128125</c:v>
                </c:pt>
                <c:pt idx="1">
                  <c:v>0.11737089201877934</c:v>
                </c:pt>
                <c:pt idx="2">
                  <c:v>0.2378716744913928</c:v>
                </c:pt>
                <c:pt idx="3">
                  <c:v>0.06739811912225706</c:v>
                </c:pt>
                <c:pt idx="4">
                  <c:v>0.10518053375196232</c:v>
                </c:pt>
                <c:pt idx="5">
                  <c:v>0.15023474178403756</c:v>
                </c:pt>
                <c:pt idx="6">
                  <c:v>0.17739403453689168</c:v>
                </c:pt>
                <c:pt idx="7">
                  <c:v>0.1674491392801252</c:v>
                </c:pt>
                <c:pt idx="8">
                  <c:v>0.11267605633802817</c:v>
                </c:pt>
                <c:pt idx="9">
                  <c:v>0.20722135007849293</c:v>
                </c:pt>
                <c:pt idx="10">
                  <c:v>0.24882629107981222</c:v>
                </c:pt>
                <c:pt idx="11">
                  <c:v>0.13615023474178403</c:v>
                </c:pt>
              </c:numCache>
            </c:numRef>
          </c:val>
        </c:ser>
        <c:ser>
          <c:idx val="1"/>
          <c:order val="1"/>
          <c:tx>
            <c:strRef>
              <c:f>PART6!$N$15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PART6!$O$15:$Z$15</c:f>
              <c:numCache>
                <c:ptCount val="12"/>
                <c:pt idx="0">
                  <c:v>0.5046875</c:v>
                </c:pt>
                <c:pt idx="1">
                  <c:v>0.36932707355242567</c:v>
                </c:pt>
                <c:pt idx="2">
                  <c:v>0.3865414710485133</c:v>
                </c:pt>
                <c:pt idx="3">
                  <c:v>0.19592476489028213</c:v>
                </c:pt>
                <c:pt idx="4">
                  <c:v>0.315541601255887</c:v>
                </c:pt>
                <c:pt idx="5">
                  <c:v>0.4788732394366197</c:v>
                </c:pt>
                <c:pt idx="6">
                  <c:v>0.49293563579277866</c:v>
                </c:pt>
                <c:pt idx="7">
                  <c:v>0.47104851330203446</c:v>
                </c:pt>
                <c:pt idx="8">
                  <c:v>0.39123630672926446</c:v>
                </c:pt>
                <c:pt idx="9">
                  <c:v>0.3924646781789639</c:v>
                </c:pt>
                <c:pt idx="10">
                  <c:v>0.41784037558685444</c:v>
                </c:pt>
                <c:pt idx="11">
                  <c:v>0.37871674491392804</c:v>
                </c:pt>
              </c:numCache>
            </c:numRef>
          </c:val>
        </c:ser>
        <c:ser>
          <c:idx val="2"/>
          <c:order val="2"/>
          <c:tx>
            <c:strRef>
              <c:f>PART6!$N$16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PART6!$O$16:$Z$16</c:f>
              <c:numCache>
                <c:ptCount val="12"/>
                <c:pt idx="0">
                  <c:v>0.2921875</c:v>
                </c:pt>
                <c:pt idx="1">
                  <c:v>0.3348982785602504</c:v>
                </c:pt>
                <c:pt idx="2">
                  <c:v>0.2676056338028169</c:v>
                </c:pt>
                <c:pt idx="3">
                  <c:v>0.3777429467084639</c:v>
                </c:pt>
                <c:pt idx="4">
                  <c:v>0.34065934065934067</c:v>
                </c:pt>
                <c:pt idx="5">
                  <c:v>0.2863849765258216</c:v>
                </c:pt>
                <c:pt idx="6">
                  <c:v>0.25588697017268447</c:v>
                </c:pt>
                <c:pt idx="7">
                  <c:v>0.27230046948356806</c:v>
                </c:pt>
                <c:pt idx="8">
                  <c:v>0.3302034428794992</c:v>
                </c:pt>
                <c:pt idx="9">
                  <c:v>0.25588697017268447</c:v>
                </c:pt>
                <c:pt idx="10">
                  <c:v>0.22848200312989045</c:v>
                </c:pt>
                <c:pt idx="11">
                  <c:v>0.3051643192488263</c:v>
                </c:pt>
              </c:numCache>
            </c:numRef>
          </c:val>
        </c:ser>
        <c:ser>
          <c:idx val="3"/>
          <c:order val="3"/>
          <c:tx>
            <c:strRef>
              <c:f>PART6!$N$17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PART6!$O$17:$Z$17</c:f>
              <c:numCache>
                <c:ptCount val="12"/>
                <c:pt idx="0">
                  <c:v>0.0609375</c:v>
                </c:pt>
                <c:pt idx="1">
                  <c:v>0.12050078247261346</c:v>
                </c:pt>
                <c:pt idx="2">
                  <c:v>0.0782472613458529</c:v>
                </c:pt>
                <c:pt idx="3">
                  <c:v>0.219435736677116</c:v>
                </c:pt>
                <c:pt idx="4">
                  <c:v>0.15698587127158556</c:v>
                </c:pt>
                <c:pt idx="5">
                  <c:v>0.06416275430359937</c:v>
                </c:pt>
                <c:pt idx="6">
                  <c:v>0.0565149136577708</c:v>
                </c:pt>
                <c:pt idx="7">
                  <c:v>0.07042253521126761</c:v>
                </c:pt>
                <c:pt idx="8">
                  <c:v>0.107981220657277</c:v>
                </c:pt>
                <c:pt idx="9">
                  <c:v>0.09576138147566719</c:v>
                </c:pt>
                <c:pt idx="10">
                  <c:v>0.06885758998435054</c:v>
                </c:pt>
                <c:pt idx="11">
                  <c:v>0.13302034428794993</c:v>
                </c:pt>
              </c:numCache>
            </c:numRef>
          </c:val>
        </c:ser>
        <c:ser>
          <c:idx val="4"/>
          <c:order val="4"/>
          <c:tx>
            <c:strRef>
              <c:f>PART6!$N$18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PART6!$O$18:$Z$18</c:f>
              <c:numCache>
                <c:ptCount val="12"/>
                <c:pt idx="0">
                  <c:v>0.0140625</c:v>
                </c:pt>
                <c:pt idx="1">
                  <c:v>0.057902973395931145</c:v>
                </c:pt>
                <c:pt idx="2">
                  <c:v>0.0297339593114241</c:v>
                </c:pt>
                <c:pt idx="3">
                  <c:v>0.13949843260188088</c:v>
                </c:pt>
                <c:pt idx="4">
                  <c:v>0.08163265306122448</c:v>
                </c:pt>
                <c:pt idx="5">
                  <c:v>0.02034428794992175</c:v>
                </c:pt>
                <c:pt idx="6">
                  <c:v>0.01726844583987441</c:v>
                </c:pt>
                <c:pt idx="7">
                  <c:v>0.018779342723004695</c:v>
                </c:pt>
                <c:pt idx="8">
                  <c:v>0.057902973395931145</c:v>
                </c:pt>
                <c:pt idx="9">
                  <c:v>0.04866562009419152</c:v>
                </c:pt>
                <c:pt idx="10">
                  <c:v>0.03599374021909233</c:v>
                </c:pt>
                <c:pt idx="11">
                  <c:v>0.046948356807511735</c:v>
                </c:pt>
              </c:numCache>
            </c:numRef>
          </c:val>
        </c:ser>
        <c:overlap val="100"/>
        <c:gapWidth val="50"/>
        <c:axId val="66786588"/>
        <c:axId val="64208381"/>
      </c:barChart>
      <c:catAx>
        <c:axId val="66786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66786588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 . . . .       
</a:t>
            </a:r>
          </a:p>
        </c:rich>
      </c:tx>
      <c:layout>
        <c:manualLayout>
          <c:xMode val="factor"/>
          <c:yMode val="factor"/>
          <c:x val="-0.25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"/>
          <c:w val="0.9642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>
                <c:ptCount val="12"/>
                <c:pt idx="0">
                  <c:v>0.925</c:v>
                </c:pt>
                <c:pt idx="1">
                  <c:v>0.8215962441314555</c:v>
                </c:pt>
                <c:pt idx="2">
                  <c:v>0.8920187793427229</c:v>
                </c:pt>
                <c:pt idx="3">
                  <c:v>0.6410658307210031</c:v>
                </c:pt>
                <c:pt idx="4">
                  <c:v>0.7613814756671899</c:v>
                </c:pt>
                <c:pt idx="5">
                  <c:v>0.9154929577464789</c:v>
                </c:pt>
                <c:pt idx="6">
                  <c:v>0.9262166405023549</c:v>
                </c:pt>
                <c:pt idx="7">
                  <c:v>0.9107981220657277</c:v>
                </c:pt>
                <c:pt idx="8">
                  <c:v>0.8341158059467918</c:v>
                </c:pt>
                <c:pt idx="9">
                  <c:v>0.8555729984301413</c:v>
                </c:pt>
                <c:pt idx="10">
                  <c:v>0.895148669796557</c:v>
                </c:pt>
                <c:pt idx="11">
                  <c:v>0.8200312989045384</c:v>
                </c:pt>
              </c:numCache>
            </c:numRef>
          </c:val>
        </c:ser>
        <c:axId val="41004518"/>
        <c:axId val="33496343"/>
      </c:barChart>
      <c:catAx>
        <c:axId val="41004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00451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0.8814352574102964</c:v>
                </c:pt>
                <c:pt idx="1">
                  <c:v>0.6921875</c:v>
                </c:pt>
                <c:pt idx="2">
                  <c:v>0.8765625</c:v>
                </c:pt>
              </c:numCache>
            </c:numRef>
          </c:val>
        </c:ser>
        <c:axId val="33031632"/>
        <c:axId val="28849233"/>
      </c:barChart>
      <c:catAx>
        <c:axId val="330316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31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1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0.6246056782334385</c:v>
                </c:pt>
                <c:pt idx="1">
                  <c:v>0.5534591194968553</c:v>
                </c:pt>
                <c:pt idx="2">
                  <c:v>0.6452119309262166</c:v>
                </c:pt>
                <c:pt idx="3">
                  <c:v>0.5971786833855799</c:v>
                </c:pt>
                <c:pt idx="4">
                  <c:v>0.7288401253918495</c:v>
                </c:pt>
                <c:pt idx="5">
                  <c:v>0.25157232704402516</c:v>
                </c:pt>
                <c:pt idx="6">
                  <c:v>0.5611285266457681</c:v>
                </c:pt>
                <c:pt idx="7">
                  <c:v>0.8591549295774648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316506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0.09276729559748427</c:v>
                </c:pt>
                <c:pt idx="1">
                  <c:v>0.3742138364779874</c:v>
                </c:pt>
                <c:pt idx="2">
                  <c:v>0.4591194968553459</c:v>
                </c:pt>
                <c:pt idx="3">
                  <c:v>0.0660377358490566</c:v>
                </c:pt>
                <c:pt idx="4">
                  <c:v>0.007861635220125786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16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5"/>
          <c:w val="0.3825"/>
          <c:h val="0.5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 </a:t>
                    </a:r>
                    <a:r>
                      <a:rPr lang="en-US" cap="none" sz="600" b="0" i="0" u="none" baseline="0"/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6"/>
          <c:w val="0.60675"/>
          <c:h val="0.6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334"/>
          <c:w val="0.47075"/>
          <c:h val="0.6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875"/>
          <c:w val="0.4795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3615"/>
          <c:w val="0.634"/>
          <c:h val="0.6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Strongly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/>
                      <a:t>Somewh  Positiv</a:t>
                    </a:r>
                    <a:r>
                      <a:rPr lang="en-US" cap="none" sz="600" b="0" i="0" u="none" baseline="0"/>
                      <a:t>e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Somewh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 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0.14075</cdr:y>
    </cdr:from>
    <cdr:to>
      <cdr:x>0.85325</cdr:x>
      <cdr:y>0.21</cdr:y>
    </cdr:to>
    <cdr:sp>
      <cdr:nvSpPr>
        <cdr:cNvPr id="1" name="Line 1"/>
        <cdr:cNvSpPr>
          <a:spLocks/>
        </cdr:cNvSpPr>
      </cdr:nvSpPr>
      <cdr:spPr>
        <a:xfrm flipV="1">
          <a:off x="3895725" y="7905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4586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8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0.38025</cdr:y>
    </cdr:from>
    <cdr:to>
      <cdr:x>0.4</cdr:x>
      <cdr:y>0.38025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368825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93274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0.36025</cdr:y>
    </cdr:from>
    <cdr:to>
      <cdr:x>0.4645</cdr:x>
      <cdr:y>0.40125</cdr:y>
    </cdr:to>
    <cdr:sp>
      <cdr:nvSpPr>
        <cdr:cNvPr id="1" name="Line 1"/>
        <cdr:cNvSpPr>
          <a:spLocks/>
        </cdr:cNvSpPr>
      </cdr:nvSpPr>
      <cdr:spPr>
        <a:xfrm>
          <a:off x="1352550" y="94297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0.36025</cdr:y>
    </cdr:from>
    <cdr:to>
      <cdr:x>0.51975</cdr:x>
      <cdr:y>0.40025</cdr:y>
    </cdr:to>
    <cdr:sp>
      <cdr:nvSpPr>
        <cdr:cNvPr id="2" name="Line 2"/>
        <cdr:cNvSpPr>
          <a:spLocks/>
        </cdr:cNvSpPr>
      </cdr:nvSpPr>
      <cdr:spPr>
        <a:xfrm flipH="1">
          <a:off x="1495425" y="9429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128</xdr:row>
      <xdr:rowOff>28575</xdr:rowOff>
    </xdr:from>
    <xdr:to>
      <xdr:col>10</xdr:col>
      <xdr:colOff>723900</xdr:colOff>
      <xdr:row>130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545300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
6/16/2004
</a:t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685800</xdr:colOff>
      <xdr:row>137</xdr:row>
      <xdr:rowOff>142875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0850225"/>
          <a:ext cx="8867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0.3875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0.38</cdr:x>
      <cdr:y>0.4115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0.3875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25</xdr:row>
      <xdr:rowOff>38100</xdr:rowOff>
    </xdr:from>
    <xdr:to>
      <xdr:col>10</xdr:col>
      <xdr:colOff>752475</xdr:colOff>
      <xdr:row>39</xdr:row>
      <xdr:rowOff>123825</xdr:rowOff>
    </xdr:to>
    <xdr:graphicFrame>
      <xdr:nvGraphicFramePr>
        <xdr:cNvPr id="4" name="Chart 4"/>
        <xdr:cNvGraphicFramePr/>
      </xdr:nvGraphicFramePr>
      <xdr:xfrm>
        <a:off x="7419975" y="3686175"/>
        <a:ext cx="1962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29</xdr:row>
      <xdr:rowOff>114300</xdr:rowOff>
    </xdr:from>
    <xdr:to>
      <xdr:col>9</xdr:col>
      <xdr:colOff>571500</xdr:colOff>
      <xdr:row>30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8334375" y="45053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390525</xdr:colOff>
      <xdr:row>29</xdr:row>
      <xdr:rowOff>133350</xdr:rowOff>
    </xdr:from>
    <xdr:to>
      <xdr:col>9</xdr:col>
      <xdr:colOff>466725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229600" y="4524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161925</xdr:colOff>
      <xdr:row>30</xdr:row>
      <xdr:rowOff>76200</xdr:rowOff>
    </xdr:from>
    <xdr:to>
      <xdr:col>9</xdr:col>
      <xdr:colOff>314325</xdr:colOff>
      <xdr:row>30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8001000" y="4610100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100</xdr:row>
      <xdr:rowOff>0</xdr:rowOff>
    </xdr:from>
    <xdr:to>
      <xdr:col>1</xdr:col>
      <xdr:colOff>457200</xdr:colOff>
      <xdr:row>100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0780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100</xdr:row>
      <xdr:rowOff>0</xdr:rowOff>
    </xdr:from>
    <xdr:to>
      <xdr:col>4</xdr:col>
      <xdr:colOff>828675</xdr:colOff>
      <xdr:row>100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078075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078075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Black, Non-Hispanic</a:t>
          </a:r>
        </a:p>
      </xdr:txBody>
    </xdr:sp>
    <xdr:clientData/>
  </xdr:twoCellAnchor>
  <xdr:twoCellAnchor>
    <xdr:from>
      <xdr:col>8</xdr:col>
      <xdr:colOff>133350</xdr:colOff>
      <xdr:row>100</xdr:row>
      <xdr:rowOff>0</xdr:rowOff>
    </xdr:from>
    <xdr:to>
      <xdr:col>10</xdr:col>
      <xdr:colOff>723900</xdr:colOff>
      <xdr:row>100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078075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ALUM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2">
          <cell r="A2" t="str">
            <v>Southern Illinois University Edwardsville</v>
          </cell>
        </row>
        <row r="3">
          <cell r="A3" t="str">
            <v>Survey of 2002 Baccalaureate Graduates -- One Year Out</v>
          </cell>
        </row>
        <row r="5">
          <cell r="A5" t="str">
            <v>Survey Population and Respondents</v>
          </cell>
        </row>
        <row r="11">
          <cell r="A11" t="str">
            <v>2002 Baccalaureate Degrees</v>
          </cell>
          <cell r="C11">
            <v>1722</v>
          </cell>
        </row>
        <row r="13">
          <cell r="A13" t="str">
            <v>     Less persons who received 2 baccalaureate degrees</v>
          </cell>
          <cell r="B13">
            <v>12</v>
          </cell>
        </row>
        <row r="15">
          <cell r="A15" t="str">
            <v>2001 Baccalaureate Graduates</v>
          </cell>
          <cell r="C15">
            <v>1710</v>
          </cell>
        </row>
        <row r="17">
          <cell r="A17" t="str">
            <v>     Less Graduates with No Address Available *</v>
          </cell>
          <cell r="B17">
            <v>4</v>
          </cell>
        </row>
        <row r="19">
          <cell r="A19" t="str">
            <v>Graduates Surveyed</v>
          </cell>
          <cell r="C19">
            <v>1706</v>
          </cell>
          <cell r="E19" t="str">
            <v>xxxx postcards mailed</v>
          </cell>
        </row>
        <row r="20">
          <cell r="E20" t="str">
            <v>out  per Emily. xx non-</v>
          </cell>
        </row>
        <row r="21">
          <cell r="A21" t="str">
            <v>     Less Non-Deliverable Surveys</v>
          </cell>
          <cell r="B21">
            <v>57</v>
          </cell>
          <cell r="E21" t="str">
            <v>deliverables from </v>
          </cell>
        </row>
        <row r="22">
          <cell r="E22" t="str">
            <v>postcards.  xx non-</v>
          </cell>
        </row>
        <row r="23">
          <cell r="A23" t="str">
            <v>     Less Non-Responding Graduates</v>
          </cell>
          <cell r="B23">
            <v>1004</v>
          </cell>
          <cell r="E23" t="str">
            <v>deliverable surveys.</v>
          </cell>
        </row>
        <row r="24">
          <cell r="F24" t="str">
            <v>(x/xx/95)</v>
          </cell>
        </row>
        <row r="25">
          <cell r="A25" t="str">
            <v>Survey Respondents</v>
          </cell>
          <cell r="C25">
            <v>645</v>
          </cell>
        </row>
        <row r="27">
          <cell r="A27" t="str">
            <v>Gross Response Rate (Respondents/Total Surveyed)</v>
          </cell>
          <cell r="C27">
            <v>0.37807737397420865</v>
          </cell>
        </row>
        <row r="29">
          <cell r="A29" t="str">
            <v>Adjusted Response Rate (Respondents/Delivered Surveys)</v>
          </cell>
          <cell r="C29">
            <v>0.391146149181322</v>
          </cell>
        </row>
        <row r="31">
          <cell r="A31" t="str">
            <v>*  Includes deceased alumni, foreign addresses and known bad addresses.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421875" style="565" customWidth="1"/>
    <col min="2" max="2" width="9.140625" style="564" customWidth="1"/>
    <col min="3" max="16384" width="9.140625" style="565" customWidth="1"/>
  </cols>
  <sheetData>
    <row r="1" ht="15.75">
      <c r="A1" s="563" t="s">
        <v>0</v>
      </c>
    </row>
    <row r="2" ht="15.75">
      <c r="A2" s="566" t="s">
        <v>430</v>
      </c>
    </row>
    <row r="4" spans="1:2" ht="15">
      <c r="A4" s="565" t="s">
        <v>431</v>
      </c>
      <c r="B4" s="567" t="s">
        <v>432</v>
      </c>
    </row>
    <row r="5" spans="1:2" ht="15">
      <c r="A5" s="565" t="s">
        <v>433</v>
      </c>
      <c r="B5" s="568" t="s">
        <v>434</v>
      </c>
    </row>
    <row r="6" spans="1:2" ht="15">
      <c r="A6" s="565" t="s">
        <v>435</v>
      </c>
      <c r="B6" s="564" t="s">
        <v>4</v>
      </c>
    </row>
    <row r="7" spans="1:2" ht="15">
      <c r="A7" s="565" t="s">
        <v>436</v>
      </c>
      <c r="B7" s="564" t="s">
        <v>212</v>
      </c>
    </row>
    <row r="8" spans="1:2" ht="15">
      <c r="A8" s="565" t="s">
        <v>437</v>
      </c>
      <c r="B8" s="564" t="s">
        <v>249</v>
      </c>
    </row>
    <row r="9" spans="1:2" ht="15">
      <c r="A9" s="565" t="s">
        <v>438</v>
      </c>
      <c r="B9" s="569" t="s">
        <v>277</v>
      </c>
    </row>
    <row r="10" spans="1:2" ht="15">
      <c r="A10" s="565" t="s">
        <v>439</v>
      </c>
      <c r="B10" s="570" t="s">
        <v>315</v>
      </c>
    </row>
    <row r="11" spans="1:2" ht="15">
      <c r="A11" s="565" t="s">
        <v>440</v>
      </c>
      <c r="B11" s="571" t="s">
        <v>340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tabSelected="1" workbookViewId="0" topLeftCell="A1">
      <selection activeCell="B33" sqref="B33"/>
    </sheetView>
  </sheetViews>
  <sheetFormatPr defaultColWidth="9.140625" defaultRowHeight="12.75"/>
  <cols>
    <col min="1" max="1" width="55.28125" style="572" customWidth="1"/>
    <col min="2" max="2" width="9.140625" style="572" customWidth="1"/>
    <col min="3" max="3" width="14.140625" style="572" customWidth="1"/>
    <col min="4" max="4" width="3.57421875" style="572" customWidth="1"/>
    <col min="5" max="5" width="6.140625" style="572" customWidth="1"/>
    <col min="6" max="16384" width="9.140625" style="572" customWidth="1"/>
  </cols>
  <sheetData>
    <row r="1" ht="15.75" customHeight="1">
      <c r="D1" s="573">
        <v>3</v>
      </c>
    </row>
    <row r="2" spans="1:8" ht="15.75">
      <c r="A2" s="574" t="s">
        <v>0</v>
      </c>
      <c r="B2" s="575"/>
      <c r="C2" s="575"/>
      <c r="D2" s="575"/>
      <c r="E2" s="575"/>
      <c r="F2" s="575"/>
      <c r="G2" s="575"/>
      <c r="H2" s="575"/>
    </row>
    <row r="3" spans="1:8" ht="15.75">
      <c r="A3" s="576" t="s">
        <v>2</v>
      </c>
      <c r="B3" s="575"/>
      <c r="C3" s="575"/>
      <c r="D3" s="575"/>
      <c r="E3" s="575"/>
      <c r="F3" s="575"/>
      <c r="G3" s="575"/>
      <c r="H3" s="575"/>
    </row>
    <row r="4" spans="1:8" ht="11.25">
      <c r="A4" s="575"/>
      <c r="B4" s="575"/>
      <c r="C4" s="575"/>
      <c r="D4" s="575"/>
      <c r="E4" s="575"/>
      <c r="F4" s="575"/>
      <c r="G4" s="575"/>
      <c r="H4" s="575"/>
    </row>
    <row r="5" spans="1:8" ht="15">
      <c r="A5" s="577" t="s">
        <v>432</v>
      </c>
      <c r="B5" s="575"/>
      <c r="C5" s="575"/>
      <c r="D5" s="575"/>
      <c r="E5" s="575"/>
      <c r="F5" s="575"/>
      <c r="G5" s="575"/>
      <c r="H5" s="575"/>
    </row>
    <row r="6" spans="1:8" ht="11.25">
      <c r="A6" s="575"/>
      <c r="B6" s="575"/>
      <c r="C6" s="575"/>
      <c r="D6" s="575"/>
      <c r="E6" s="575"/>
      <c r="F6" s="575"/>
      <c r="G6" s="575"/>
      <c r="H6" s="575"/>
    </row>
    <row r="7" spans="1:5" ht="12.75">
      <c r="A7" s="578"/>
      <c r="B7" s="578"/>
      <c r="C7" s="578"/>
      <c r="D7" s="578"/>
      <c r="E7" s="578"/>
    </row>
    <row r="8" spans="1:5" ht="3" customHeight="1">
      <c r="A8" s="579"/>
      <c r="B8" s="580"/>
      <c r="C8" s="581"/>
      <c r="D8" s="582"/>
      <c r="E8" s="578"/>
    </row>
    <row r="9" spans="1:5" ht="12.75">
      <c r="A9" s="579"/>
      <c r="B9" s="579"/>
      <c r="C9" s="581"/>
      <c r="D9" s="582"/>
      <c r="E9" s="583"/>
    </row>
    <row r="10" spans="1:7" ht="12.75">
      <c r="A10" s="584"/>
      <c r="B10" s="585"/>
      <c r="C10" s="586"/>
      <c r="D10" s="587"/>
      <c r="E10" s="578"/>
      <c r="F10" s="575"/>
      <c r="G10" s="575"/>
    </row>
    <row r="11" spans="1:7" ht="12.75">
      <c r="A11" s="588" t="s">
        <v>441</v>
      </c>
      <c r="B11" s="589"/>
      <c r="C11" s="590">
        <v>1722</v>
      </c>
      <c r="D11" s="591"/>
      <c r="E11" s="578"/>
      <c r="F11" s="575"/>
      <c r="G11" s="575"/>
    </row>
    <row r="12" spans="1:5" ht="12.75">
      <c r="A12" s="592"/>
      <c r="B12" s="584"/>
      <c r="C12" s="593"/>
      <c r="D12" s="582"/>
      <c r="E12" s="578"/>
    </row>
    <row r="13" spans="1:5" ht="12.75">
      <c r="A13" s="594" t="s">
        <v>442</v>
      </c>
      <c r="B13" s="595">
        <v>12</v>
      </c>
      <c r="C13" s="593"/>
      <c r="D13" s="582"/>
      <c r="E13" s="578"/>
    </row>
    <row r="14" spans="1:5" ht="12.75">
      <c r="A14" s="594"/>
      <c r="B14" s="584"/>
      <c r="C14" s="593"/>
      <c r="D14" s="582"/>
      <c r="E14" s="578"/>
    </row>
    <row r="15" spans="1:5" ht="12.75">
      <c r="A15" s="596" t="s">
        <v>443</v>
      </c>
      <c r="B15" s="585"/>
      <c r="C15" s="597">
        <f>C11-B13</f>
        <v>1710</v>
      </c>
      <c r="D15" s="591"/>
      <c r="E15" s="578"/>
    </row>
    <row r="16" spans="1:5" ht="12.75">
      <c r="A16" s="598"/>
      <c r="B16" s="584"/>
      <c r="C16" s="593"/>
      <c r="D16" s="582"/>
      <c r="E16" s="578"/>
    </row>
    <row r="17" spans="1:5" ht="12.75">
      <c r="A17" s="599" t="s">
        <v>444</v>
      </c>
      <c r="B17" s="600">
        <v>4</v>
      </c>
      <c r="C17" s="593"/>
      <c r="D17" s="582"/>
      <c r="E17" s="578"/>
    </row>
    <row r="18" spans="1:5" ht="12.75">
      <c r="A18" s="598"/>
      <c r="B18" s="601"/>
      <c r="C18" s="593"/>
      <c r="D18" s="582"/>
      <c r="E18" s="578"/>
    </row>
    <row r="19" spans="1:7" ht="12.75">
      <c r="A19" s="596" t="s">
        <v>445</v>
      </c>
      <c r="B19" s="602"/>
      <c r="C19" s="597">
        <f>C15-B17</f>
        <v>1706</v>
      </c>
      <c r="D19" s="591"/>
      <c r="E19" s="603"/>
      <c r="F19" s="603"/>
      <c r="G19" s="604"/>
    </row>
    <row r="20" spans="1:6" ht="12.75">
      <c r="A20" s="598"/>
      <c r="B20" s="601"/>
      <c r="C20" s="593"/>
      <c r="D20" s="582"/>
      <c r="E20" s="605"/>
      <c r="F20" s="605"/>
    </row>
    <row r="21" spans="1:7" ht="12.75">
      <c r="A21" s="599" t="s">
        <v>446</v>
      </c>
      <c r="B21" s="600">
        <v>57</v>
      </c>
      <c r="C21" s="593"/>
      <c r="D21" s="582"/>
      <c r="E21" s="603"/>
      <c r="F21" s="603"/>
      <c r="G21" s="604"/>
    </row>
    <row r="22" spans="1:7" ht="12.75">
      <c r="A22" s="606"/>
      <c r="B22" s="584"/>
      <c r="C22" s="593"/>
      <c r="D22" s="582"/>
      <c r="E22" s="603"/>
      <c r="F22" s="607"/>
      <c r="G22" s="604"/>
    </row>
    <row r="23" spans="1:7" ht="12.75">
      <c r="A23" s="599" t="s">
        <v>447</v>
      </c>
      <c r="B23" s="600">
        <f>C19-B21-C25</f>
        <v>1004</v>
      </c>
      <c r="C23" s="593"/>
      <c r="D23" s="582"/>
      <c r="E23" s="603"/>
      <c r="G23" s="604"/>
    </row>
    <row r="24" spans="1:6" ht="12.75">
      <c r="A24" s="598"/>
      <c r="B24" s="584"/>
      <c r="C24" s="593"/>
      <c r="D24" s="582"/>
      <c r="E24" s="578"/>
      <c r="F24" s="607"/>
    </row>
    <row r="25" spans="1:7" ht="12.75">
      <c r="A25" s="596" t="s">
        <v>448</v>
      </c>
      <c r="B25" s="608"/>
      <c r="C25" s="597">
        <v>645</v>
      </c>
      <c r="D25" s="591"/>
      <c r="E25" s="578"/>
      <c r="F25" s="607"/>
      <c r="G25" s="604"/>
    </row>
    <row r="26" spans="1:5" ht="12.75">
      <c r="A26" s="598"/>
      <c r="B26" s="584"/>
      <c r="C26" s="593"/>
      <c r="D26" s="582"/>
      <c r="E26" s="578"/>
    </row>
    <row r="27" spans="1:7" ht="12.75">
      <c r="A27" s="609" t="s">
        <v>449</v>
      </c>
      <c r="B27" s="610"/>
      <c r="C27" s="611">
        <f>C25/C19</f>
        <v>0.37807737397420865</v>
      </c>
      <c r="D27" s="612"/>
      <c r="E27" s="578"/>
      <c r="G27" s="604"/>
    </row>
    <row r="28" spans="1:7" ht="12.75">
      <c r="A28" s="598"/>
      <c r="B28" s="584"/>
      <c r="C28" s="593"/>
      <c r="D28" s="582"/>
      <c r="E28" s="578"/>
      <c r="G28" s="604"/>
    </row>
    <row r="29" spans="1:7" ht="12.75">
      <c r="A29" s="613" t="s">
        <v>450</v>
      </c>
      <c r="B29" s="585"/>
      <c r="C29" s="614">
        <f>C25/(C19-B21)</f>
        <v>0.391146149181322</v>
      </c>
      <c r="D29" s="612"/>
      <c r="E29" s="578"/>
      <c r="G29" s="604"/>
    </row>
    <row r="30" ht="11.25">
      <c r="G30" s="604"/>
    </row>
    <row r="31" ht="11.25">
      <c r="A31" s="572" t="s">
        <v>451</v>
      </c>
    </row>
    <row r="32" ht="11.25">
      <c r="G32" s="604"/>
    </row>
    <row r="33" spans="3:7" ht="11.25">
      <c r="C33" s="604"/>
      <c r="D33" s="604"/>
      <c r="G33" s="604"/>
    </row>
    <row r="34" spans="3:7" ht="11.25">
      <c r="C34" s="604"/>
      <c r="D34" s="604"/>
      <c r="G34" s="604"/>
    </row>
    <row r="35" spans="3:7" ht="11.25">
      <c r="C35" s="604"/>
      <c r="D35" s="604"/>
      <c r="G35" s="604"/>
    </row>
    <row r="36" spans="3:7" ht="11.25">
      <c r="C36" s="604"/>
      <c r="D36" s="604"/>
      <c r="G36" s="604"/>
    </row>
    <row r="37" spans="3:7" ht="11.25">
      <c r="C37" s="604"/>
      <c r="D37" s="604"/>
      <c r="G37" s="604"/>
    </row>
    <row r="38" spans="3:7" ht="11.25">
      <c r="C38" s="604"/>
      <c r="D38" s="604"/>
      <c r="G38" s="604"/>
    </row>
    <row r="39" spans="3:7" ht="11.25">
      <c r="C39" s="604"/>
      <c r="D39" s="604"/>
      <c r="G39" s="604"/>
    </row>
    <row r="41" spans="3:7" ht="11.25">
      <c r="C41" s="604"/>
      <c r="D41" s="604"/>
      <c r="G41" s="604"/>
    </row>
    <row r="42" spans="3:7" ht="11.25">
      <c r="C42" s="604"/>
      <c r="D42" s="604"/>
      <c r="G42" s="604"/>
    </row>
    <row r="43" spans="3:7" ht="11.25">
      <c r="C43" s="604"/>
      <c r="D43" s="604"/>
      <c r="G43" s="604"/>
    </row>
    <row r="44" spans="3:7" ht="11.25">
      <c r="C44" s="604"/>
      <c r="D44" s="604"/>
      <c r="G44" s="604"/>
    </row>
    <row r="45" spans="3:7" ht="11.25">
      <c r="C45" s="604"/>
      <c r="D45" s="604"/>
      <c r="G45" s="604"/>
    </row>
    <row r="47" spans="3:7" ht="11.25">
      <c r="C47" s="604"/>
      <c r="D47" s="604"/>
      <c r="G47" s="604"/>
    </row>
    <row r="48" spans="3:7" ht="11.25">
      <c r="C48" s="604"/>
      <c r="D48" s="604"/>
      <c r="G48" s="604"/>
    </row>
    <row r="49" spans="3:7" ht="11.25">
      <c r="C49" s="604"/>
      <c r="D49" s="604"/>
      <c r="G49" s="604"/>
    </row>
    <row r="50" spans="3:7" ht="11.25">
      <c r="C50" s="604"/>
      <c r="D50" s="604"/>
      <c r="G50" s="604"/>
    </row>
    <row r="51" spans="3:7" ht="11.25">
      <c r="C51" s="604"/>
      <c r="D51" s="604"/>
      <c r="G51" s="604"/>
    </row>
    <row r="52" spans="3:7" ht="11.25">
      <c r="C52" s="604"/>
      <c r="D52" s="604"/>
      <c r="G52" s="604"/>
    </row>
    <row r="53" spans="3:7" ht="11.25">
      <c r="C53" s="604"/>
      <c r="D53" s="604"/>
      <c r="G53" s="604"/>
    </row>
    <row r="54" spans="3:7" ht="11.25">
      <c r="C54" s="604"/>
      <c r="D54" s="604"/>
      <c r="G54" s="604"/>
    </row>
    <row r="55" spans="3:7" ht="11.25">
      <c r="C55" s="604"/>
      <c r="D55" s="604"/>
      <c r="G55" s="604"/>
    </row>
    <row r="56" spans="3:7" ht="11.25">
      <c r="C56" s="604"/>
      <c r="D56" s="604"/>
      <c r="G56" s="604"/>
    </row>
    <row r="58" spans="3:7" ht="11.25">
      <c r="C58" s="604"/>
      <c r="D58" s="604"/>
      <c r="G58" s="604"/>
    </row>
    <row r="59" spans="3:7" ht="11.25">
      <c r="C59" s="604"/>
      <c r="D59" s="604"/>
      <c r="G59" s="604"/>
    </row>
    <row r="60" spans="3:7" ht="11.25">
      <c r="C60" s="604"/>
      <c r="D60" s="604"/>
      <c r="G60" s="604"/>
    </row>
    <row r="62" spans="3:7" ht="11.25">
      <c r="C62" s="604"/>
      <c r="D62" s="604"/>
      <c r="G62" s="604"/>
    </row>
    <row r="63" spans="3:7" ht="11.25">
      <c r="C63" s="604"/>
      <c r="D63" s="604"/>
      <c r="G63" s="604"/>
    </row>
    <row r="64" spans="3:7" ht="11.25">
      <c r="C64" s="604"/>
      <c r="D64" s="604"/>
      <c r="G64" s="604"/>
    </row>
    <row r="69" spans="1:7" ht="11.25">
      <c r="A69" s="575"/>
      <c r="B69" s="575"/>
      <c r="C69" s="575"/>
      <c r="D69" s="575"/>
      <c r="E69" s="575"/>
      <c r="F69" s="575"/>
      <c r="G69" s="575"/>
    </row>
    <row r="71" spans="1:6" ht="11.25">
      <c r="A71" s="575"/>
      <c r="B71" s="575"/>
      <c r="C71" s="575"/>
      <c r="D71" s="575"/>
      <c r="E71" s="575"/>
      <c r="F71" s="575"/>
    </row>
    <row r="72" spans="1:6" ht="11.25">
      <c r="A72" s="575"/>
      <c r="B72" s="575"/>
      <c r="C72" s="575"/>
      <c r="D72" s="575"/>
      <c r="E72" s="575"/>
      <c r="F72" s="575"/>
    </row>
    <row r="73" spans="1:7" ht="11.25">
      <c r="A73" s="575"/>
      <c r="B73" s="575"/>
      <c r="C73" s="575"/>
      <c r="D73" s="575"/>
      <c r="E73" s="575"/>
      <c r="F73" s="575"/>
      <c r="G73" s="604"/>
    </row>
    <row r="74" spans="1:7" ht="11.25">
      <c r="A74" s="575"/>
      <c r="B74" s="575"/>
      <c r="C74" s="575"/>
      <c r="D74" s="575"/>
      <c r="E74" s="575"/>
      <c r="F74" s="575"/>
      <c r="G74" s="604"/>
    </row>
    <row r="75" spans="1:7" ht="11.25">
      <c r="A75" s="575"/>
      <c r="B75" s="575"/>
      <c r="C75" s="575"/>
      <c r="D75" s="575"/>
      <c r="E75" s="575"/>
      <c r="F75" s="575"/>
      <c r="G75" s="604"/>
    </row>
    <row r="76" ht="11.25">
      <c r="G76" s="604"/>
    </row>
    <row r="77" spans="2:7" ht="11.25">
      <c r="B77" s="575"/>
      <c r="C77" s="575"/>
      <c r="D77" s="575"/>
      <c r="F77" s="575"/>
      <c r="G77" s="575"/>
    </row>
    <row r="78" spans="2:7" ht="11.25">
      <c r="B78" s="575"/>
      <c r="C78" s="575"/>
      <c r="D78" s="575"/>
      <c r="F78" s="575"/>
      <c r="G78" s="575"/>
    </row>
    <row r="79" ht="11.25">
      <c r="G79" s="604"/>
    </row>
    <row r="80" spans="2:7" ht="11.25">
      <c r="B80" s="615"/>
      <c r="C80" s="615"/>
      <c r="D80" s="615"/>
      <c r="E80" s="616"/>
      <c r="F80" s="615"/>
      <c r="G80" s="615"/>
    </row>
    <row r="83" spans="3:7" ht="11.25">
      <c r="C83" s="604"/>
      <c r="D83" s="604"/>
      <c r="G83" s="604"/>
    </row>
    <row r="84" spans="3:7" ht="11.25">
      <c r="C84" s="604"/>
      <c r="D84" s="604"/>
      <c r="G84" s="604"/>
    </row>
    <row r="85" spans="3:7" ht="11.25">
      <c r="C85" s="604"/>
      <c r="D85" s="604"/>
      <c r="G85" s="604"/>
    </row>
    <row r="86" spans="3:7" ht="11.25">
      <c r="C86" s="604"/>
      <c r="D86" s="604"/>
      <c r="G86" s="604"/>
    </row>
    <row r="88" spans="3:7" ht="11.25">
      <c r="C88" s="604"/>
      <c r="D88" s="604"/>
      <c r="G88" s="604"/>
    </row>
    <row r="89" spans="3:7" ht="11.25">
      <c r="C89" s="604"/>
      <c r="D89" s="604"/>
      <c r="G89" s="604"/>
    </row>
    <row r="90" spans="3:7" ht="11.25">
      <c r="C90" s="604"/>
      <c r="D90" s="604"/>
      <c r="G90" s="604"/>
    </row>
    <row r="91" spans="3:7" ht="11.25">
      <c r="C91" s="604"/>
      <c r="D91" s="604"/>
      <c r="G91" s="604"/>
    </row>
    <row r="92" spans="3:7" ht="11.25">
      <c r="C92" s="604"/>
      <c r="D92" s="604"/>
      <c r="G92" s="604"/>
    </row>
    <row r="94" spans="3:7" ht="11.25">
      <c r="C94" s="604"/>
      <c r="D94" s="604"/>
      <c r="G94" s="604"/>
    </row>
    <row r="95" spans="3:7" ht="11.25">
      <c r="C95" s="604"/>
      <c r="D95" s="604"/>
      <c r="G95" s="604"/>
    </row>
    <row r="96" spans="3:7" ht="11.25">
      <c r="C96" s="604"/>
      <c r="D96" s="604"/>
      <c r="G96" s="604"/>
    </row>
    <row r="97" spans="3:7" ht="11.25">
      <c r="C97" s="604"/>
      <c r="D97" s="604"/>
      <c r="G97" s="604"/>
    </row>
    <row r="98" spans="3:7" ht="11.25">
      <c r="C98" s="604"/>
      <c r="D98" s="604"/>
      <c r="G98" s="604"/>
    </row>
    <row r="99" spans="3:7" ht="11.25">
      <c r="C99" s="604"/>
      <c r="D99" s="604"/>
      <c r="G99" s="604"/>
    </row>
    <row r="100" spans="3:7" ht="11.25">
      <c r="C100" s="604"/>
      <c r="D100" s="604"/>
      <c r="G100" s="604"/>
    </row>
    <row r="101" spans="3:7" ht="11.25">
      <c r="C101" s="604"/>
      <c r="D101" s="604"/>
      <c r="G101" s="604"/>
    </row>
    <row r="102" spans="3:7" ht="11.25">
      <c r="C102" s="604"/>
      <c r="D102" s="604"/>
      <c r="G102" s="604"/>
    </row>
    <row r="103" spans="3:7" ht="11.25">
      <c r="C103" s="604"/>
      <c r="D103" s="604"/>
      <c r="G103" s="604"/>
    </row>
    <row r="105" spans="2:6" ht="11.25">
      <c r="B105" s="615"/>
      <c r="F105" s="615"/>
    </row>
    <row r="106" spans="2:6" ht="11.25">
      <c r="B106" s="615"/>
      <c r="F106" s="615"/>
    </row>
    <row r="107" spans="2:7" ht="11.25">
      <c r="B107" s="615"/>
      <c r="C107" s="617"/>
      <c r="D107" s="617"/>
      <c r="F107" s="615"/>
      <c r="G107" s="617"/>
    </row>
    <row r="108" spans="2:6" ht="11.25">
      <c r="B108" s="615"/>
      <c r="F108" s="615"/>
    </row>
    <row r="109" spans="2:6" ht="11.25">
      <c r="B109" s="615"/>
      <c r="F109" s="615"/>
    </row>
    <row r="110" ht="11.25">
      <c r="B110" s="61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M28" sqref="M28"/>
    </sheetView>
  </sheetViews>
  <sheetFormatPr defaultColWidth="9.140625" defaultRowHeight="12.75"/>
  <cols>
    <col min="1" max="1" width="35.7109375" style="620" customWidth="1"/>
    <col min="2" max="2" width="8.8515625" style="620" customWidth="1"/>
    <col min="3" max="3" width="9.140625" style="620" customWidth="1"/>
    <col min="4" max="4" width="3.57421875" style="620" customWidth="1"/>
    <col min="5" max="5" width="1.28515625" style="620" customWidth="1"/>
    <col min="6" max="6" width="9.140625" style="620" customWidth="1"/>
    <col min="7" max="7" width="8.8515625" style="620" customWidth="1"/>
    <col min="8" max="8" width="3.00390625" style="620" customWidth="1"/>
    <col min="9" max="9" width="7.8515625" style="620" customWidth="1"/>
    <col min="10" max="16384" width="9.140625" style="620" customWidth="1"/>
  </cols>
  <sheetData>
    <row r="1" spans="1:9" ht="15.75">
      <c r="A1" s="563" t="s">
        <v>0</v>
      </c>
      <c r="B1" s="618"/>
      <c r="C1" s="618"/>
      <c r="D1" s="618"/>
      <c r="E1" s="618"/>
      <c r="F1" s="618"/>
      <c r="G1" s="618"/>
      <c r="H1" s="618"/>
      <c r="I1" s="619">
        <v>4</v>
      </c>
    </row>
    <row r="2" spans="1:8" ht="15.75">
      <c r="A2" s="621" t="s">
        <v>2</v>
      </c>
      <c r="B2" s="618"/>
      <c r="C2" s="618"/>
      <c r="D2" s="618"/>
      <c r="E2" s="618"/>
      <c r="F2" s="618"/>
      <c r="G2" s="618"/>
      <c r="H2" s="618"/>
    </row>
    <row r="3" spans="1:8" ht="6.75" customHeight="1">
      <c r="A3" s="618"/>
      <c r="B3" s="618"/>
      <c r="C3" s="618"/>
      <c r="D3" s="618"/>
      <c r="E3" s="618"/>
      <c r="F3" s="618"/>
      <c r="G3" s="618"/>
      <c r="H3" s="618"/>
    </row>
    <row r="4" spans="1:8" ht="14.25" customHeight="1">
      <c r="A4" s="622" t="s">
        <v>434</v>
      </c>
      <c r="B4" s="622"/>
      <c r="C4" s="618"/>
      <c r="D4" s="618"/>
      <c r="E4" s="618"/>
      <c r="F4" s="618"/>
      <c r="G4" s="618"/>
      <c r="H4" s="618"/>
    </row>
    <row r="5" spans="1:8" ht="14.25" customHeight="1">
      <c r="A5" s="622"/>
      <c r="B5" s="622"/>
      <c r="C5" s="618"/>
      <c r="D5" s="618"/>
      <c r="E5" s="618"/>
      <c r="F5" s="618"/>
      <c r="G5" s="618"/>
      <c r="H5" s="618"/>
    </row>
    <row r="6" spans="2:9" ht="11.25">
      <c r="B6" s="623" t="s">
        <v>452</v>
      </c>
      <c r="C6" s="624"/>
      <c r="D6" s="625"/>
      <c r="E6" s="626"/>
      <c r="F6" s="627" t="s">
        <v>453</v>
      </c>
      <c r="G6" s="627"/>
      <c r="H6" s="628"/>
      <c r="I6" s="629"/>
    </row>
    <row r="7" spans="2:9" ht="11.25">
      <c r="B7" s="630" t="s">
        <v>454</v>
      </c>
      <c r="C7" s="631"/>
      <c r="D7" s="632"/>
      <c r="E7" s="633"/>
      <c r="F7" s="634" t="s">
        <v>455</v>
      </c>
      <c r="G7" s="634"/>
      <c r="H7" s="635"/>
      <c r="I7" s="629"/>
    </row>
    <row r="8" spans="2:9" ht="11.25">
      <c r="B8" s="636" t="s">
        <v>9</v>
      </c>
      <c r="C8" s="637" t="s">
        <v>5</v>
      </c>
      <c r="D8" s="637"/>
      <c r="E8" s="633"/>
      <c r="F8" s="637" t="s">
        <v>9</v>
      </c>
      <c r="G8" s="637" t="s">
        <v>5</v>
      </c>
      <c r="H8" s="638"/>
      <c r="I8" s="629"/>
    </row>
    <row r="9" spans="1:9" ht="11.25">
      <c r="A9" s="639" t="s">
        <v>246</v>
      </c>
      <c r="B9" s="630">
        <v>1722</v>
      </c>
      <c r="C9" s="640">
        <v>1</v>
      </c>
      <c r="D9" s="640"/>
      <c r="E9" s="633"/>
      <c r="F9" s="631">
        <v>645</v>
      </c>
      <c r="G9" s="640">
        <v>1</v>
      </c>
      <c r="H9" s="638"/>
      <c r="I9" s="629"/>
    </row>
    <row r="10" spans="1:10" ht="9" customHeight="1">
      <c r="A10" s="641" t="s">
        <v>154</v>
      </c>
      <c r="B10" s="641">
        <v>1063</v>
      </c>
      <c r="C10" s="642">
        <f aca="true" t="shared" si="0" ref="C10:C19">B10/totalg</f>
        <v>0.6173054587688734</v>
      </c>
      <c r="D10" s="642"/>
      <c r="E10" s="643"/>
      <c r="F10" s="618">
        <v>434</v>
      </c>
      <c r="G10" s="642">
        <f aca="true" t="shared" si="1" ref="G10:G19">F10/totalr</f>
        <v>0.6728682170542636</v>
      </c>
      <c r="H10" s="644"/>
      <c r="I10" s="629"/>
      <c r="J10" s="645"/>
    </row>
    <row r="11" spans="1:10" ht="9" customHeight="1">
      <c r="A11" s="641" t="s">
        <v>153</v>
      </c>
      <c r="B11" s="641">
        <v>659</v>
      </c>
      <c r="C11" s="642">
        <f t="shared" si="0"/>
        <v>0.3826945412311266</v>
      </c>
      <c r="D11" s="646"/>
      <c r="E11" s="643"/>
      <c r="F11" s="618">
        <v>211</v>
      </c>
      <c r="G11" s="642">
        <f t="shared" si="1"/>
        <v>0.3271317829457364</v>
      </c>
      <c r="H11" s="644"/>
      <c r="I11" s="629"/>
      <c r="J11" s="645"/>
    </row>
    <row r="12" spans="1:9" ht="9" customHeight="1">
      <c r="A12" s="630" t="s">
        <v>456</v>
      </c>
      <c r="B12" s="630">
        <v>0</v>
      </c>
      <c r="C12" s="640">
        <f t="shared" si="0"/>
        <v>0</v>
      </c>
      <c r="D12" s="640"/>
      <c r="E12" s="633"/>
      <c r="F12" s="631">
        <v>0</v>
      </c>
      <c r="G12" s="640">
        <f t="shared" si="1"/>
        <v>0</v>
      </c>
      <c r="H12" s="638"/>
      <c r="I12" s="629"/>
    </row>
    <row r="13" spans="1:9" ht="9" customHeight="1">
      <c r="A13" s="641" t="s">
        <v>185</v>
      </c>
      <c r="B13" s="641">
        <v>1528</v>
      </c>
      <c r="C13" s="642">
        <f t="shared" si="0"/>
        <v>0.8873403019744484</v>
      </c>
      <c r="D13" s="642"/>
      <c r="E13" s="643"/>
      <c r="F13" s="618">
        <v>582</v>
      </c>
      <c r="G13" s="642">
        <f t="shared" si="1"/>
        <v>0.9023255813953488</v>
      </c>
      <c r="H13" s="644"/>
      <c r="I13" s="629"/>
    </row>
    <row r="14" spans="1:9" ht="9" customHeight="1">
      <c r="A14" s="641" t="s">
        <v>457</v>
      </c>
      <c r="B14" s="641">
        <v>125</v>
      </c>
      <c r="C14" s="642">
        <f t="shared" si="0"/>
        <v>0.07259001161440186</v>
      </c>
      <c r="D14" s="642"/>
      <c r="E14" s="643"/>
      <c r="F14" s="618">
        <v>41</v>
      </c>
      <c r="G14" s="642">
        <f t="shared" si="1"/>
        <v>0.06356589147286822</v>
      </c>
      <c r="H14" s="644"/>
      <c r="I14" s="629"/>
    </row>
    <row r="15" spans="1:9" ht="9" customHeight="1">
      <c r="A15" s="641" t="s">
        <v>458</v>
      </c>
      <c r="B15" s="641">
        <v>12</v>
      </c>
      <c r="C15" s="642">
        <f t="shared" si="0"/>
        <v>0.006968641114982578</v>
      </c>
      <c r="D15" s="642"/>
      <c r="E15" s="643"/>
      <c r="F15" s="618">
        <v>4</v>
      </c>
      <c r="G15" s="642">
        <f t="shared" si="1"/>
        <v>0.006201550387596899</v>
      </c>
      <c r="H15" s="644"/>
      <c r="I15" s="629"/>
    </row>
    <row r="16" spans="1:9" ht="9" customHeight="1">
      <c r="A16" s="641" t="s">
        <v>459</v>
      </c>
      <c r="B16" s="641">
        <v>5</v>
      </c>
      <c r="C16" s="642">
        <f t="shared" si="0"/>
        <v>0.0029036004645760743</v>
      </c>
      <c r="D16" s="642"/>
      <c r="E16" s="643"/>
      <c r="F16" s="618">
        <v>1</v>
      </c>
      <c r="G16" s="642">
        <f t="shared" si="1"/>
        <v>0.0015503875968992248</v>
      </c>
      <c r="H16" s="644"/>
      <c r="I16" s="629"/>
    </row>
    <row r="17" spans="1:9" ht="9" customHeight="1">
      <c r="A17" s="641" t="s">
        <v>460</v>
      </c>
      <c r="B17" s="641">
        <v>22</v>
      </c>
      <c r="C17" s="642">
        <f t="shared" si="0"/>
        <v>0.012775842044134728</v>
      </c>
      <c r="D17" s="642"/>
      <c r="E17" s="643"/>
      <c r="F17" s="618">
        <v>11</v>
      </c>
      <c r="G17" s="642">
        <f t="shared" si="1"/>
        <v>0.017054263565891473</v>
      </c>
      <c r="H17" s="644"/>
      <c r="I17" s="629"/>
    </row>
    <row r="18" spans="1:9" ht="9" customHeight="1">
      <c r="A18" s="641" t="s">
        <v>461</v>
      </c>
      <c r="B18" s="641">
        <v>30</v>
      </c>
      <c r="C18" s="642">
        <f t="shared" si="0"/>
        <v>0.017421602787456445</v>
      </c>
      <c r="D18" s="642"/>
      <c r="E18" s="643"/>
      <c r="F18" s="618">
        <v>6</v>
      </c>
      <c r="G18" s="642">
        <f t="shared" si="1"/>
        <v>0.009302325581395349</v>
      </c>
      <c r="H18" s="644"/>
      <c r="I18" s="629"/>
    </row>
    <row r="19" spans="1:9" ht="9" customHeight="1">
      <c r="A19" s="630" t="s">
        <v>456</v>
      </c>
      <c r="B19" s="630">
        <v>0</v>
      </c>
      <c r="C19" s="640">
        <f t="shared" si="0"/>
        <v>0</v>
      </c>
      <c r="D19" s="640"/>
      <c r="E19" s="633"/>
      <c r="F19" s="647">
        <v>0</v>
      </c>
      <c r="G19" s="640">
        <f t="shared" si="1"/>
        <v>0</v>
      </c>
      <c r="H19" s="638"/>
      <c r="I19" s="629"/>
    </row>
    <row r="20" spans="1:9" ht="9" customHeight="1">
      <c r="A20" s="641" t="s">
        <v>462</v>
      </c>
      <c r="B20" s="648" t="s">
        <v>463</v>
      </c>
      <c r="C20" s="649" t="s">
        <v>464</v>
      </c>
      <c r="D20" s="650"/>
      <c r="E20" s="626"/>
      <c r="F20" s="651" t="s">
        <v>463</v>
      </c>
      <c r="G20" s="649" t="s">
        <v>464</v>
      </c>
      <c r="H20" s="652"/>
      <c r="I20" s="629"/>
    </row>
    <row r="21" spans="1:9" ht="9" customHeight="1">
      <c r="A21" s="630"/>
      <c r="B21" s="636" t="s">
        <v>465</v>
      </c>
      <c r="C21" s="653">
        <v>22.96</v>
      </c>
      <c r="D21" s="640"/>
      <c r="E21" s="633"/>
      <c r="F21" s="637" t="s">
        <v>465</v>
      </c>
      <c r="G21" s="654">
        <v>22.949</v>
      </c>
      <c r="H21" s="655"/>
      <c r="I21" s="629"/>
    </row>
    <row r="22" spans="1:9" ht="9" customHeight="1">
      <c r="A22" s="641" t="s">
        <v>466</v>
      </c>
      <c r="B22" s="641">
        <v>1384</v>
      </c>
      <c r="C22" s="642">
        <f aca="true" t="shared" si="2" ref="C22:C42">B22/totalg</f>
        <v>0.8037166085946573</v>
      </c>
      <c r="D22" s="642"/>
      <c r="E22" s="643"/>
      <c r="F22" s="618">
        <v>521</v>
      </c>
      <c r="G22" s="642">
        <f aca="true" t="shared" si="3" ref="G22:G42">F22/totalr</f>
        <v>0.8077519379844961</v>
      </c>
      <c r="H22" s="644"/>
      <c r="I22" s="629"/>
    </row>
    <row r="23" spans="1:9" ht="9" customHeight="1">
      <c r="A23" s="641" t="s">
        <v>467</v>
      </c>
      <c r="B23" s="641">
        <v>17</v>
      </c>
      <c r="C23" s="642">
        <f t="shared" si="2"/>
        <v>0.009872241579558653</v>
      </c>
      <c r="D23" s="642"/>
      <c r="E23" s="643"/>
      <c r="F23" s="618">
        <v>3</v>
      </c>
      <c r="G23" s="642">
        <f t="shared" si="3"/>
        <v>0.004651162790697674</v>
      </c>
      <c r="H23" s="644"/>
      <c r="I23" s="629"/>
    </row>
    <row r="24" spans="1:9" ht="9" customHeight="1">
      <c r="A24" s="641" t="s">
        <v>468</v>
      </c>
      <c r="B24" s="641">
        <v>172</v>
      </c>
      <c r="C24" s="642">
        <f t="shared" si="2"/>
        <v>0.09988385598141696</v>
      </c>
      <c r="D24" s="642"/>
      <c r="E24" s="643"/>
      <c r="F24" s="618">
        <v>70</v>
      </c>
      <c r="G24" s="642">
        <f t="shared" si="3"/>
        <v>0.10852713178294573</v>
      </c>
      <c r="H24" s="644"/>
      <c r="I24" s="629"/>
    </row>
    <row r="25" spans="1:9" ht="9" customHeight="1">
      <c r="A25" s="641" t="s">
        <v>469</v>
      </c>
      <c r="B25" s="641">
        <v>9</v>
      </c>
      <c r="C25" s="642">
        <f t="shared" si="2"/>
        <v>0.005226480836236934</v>
      </c>
      <c r="D25" s="642"/>
      <c r="E25" s="643"/>
      <c r="F25" s="618">
        <v>3</v>
      </c>
      <c r="G25" s="642">
        <f t="shared" si="3"/>
        <v>0.004651162790697674</v>
      </c>
      <c r="H25" s="644"/>
      <c r="I25" s="629"/>
    </row>
    <row r="26" spans="1:9" ht="9" customHeight="1">
      <c r="A26" s="641" t="s">
        <v>470</v>
      </c>
      <c r="B26" s="641">
        <v>59</v>
      </c>
      <c r="C26" s="642">
        <f t="shared" si="2"/>
        <v>0.03426248548199768</v>
      </c>
      <c r="D26" s="642"/>
      <c r="E26" s="643"/>
      <c r="F26" s="618">
        <v>26</v>
      </c>
      <c r="G26" s="642">
        <f t="shared" si="3"/>
        <v>0.040310077519379844</v>
      </c>
      <c r="H26" s="644"/>
      <c r="I26" s="629"/>
    </row>
    <row r="27" spans="1:9" ht="9" customHeight="1">
      <c r="A27" s="641" t="s">
        <v>471</v>
      </c>
      <c r="B27" s="641">
        <v>81</v>
      </c>
      <c r="C27" s="642">
        <f t="shared" si="2"/>
        <v>0.047038327526132406</v>
      </c>
      <c r="D27" s="642"/>
      <c r="E27" s="643"/>
      <c r="F27" s="618">
        <v>22</v>
      </c>
      <c r="G27" s="642">
        <f t="shared" si="3"/>
        <v>0.034108527131782945</v>
      </c>
      <c r="H27" s="644"/>
      <c r="I27" s="629"/>
    </row>
    <row r="28" spans="1:9" ht="9" customHeight="1">
      <c r="A28" s="630" t="s">
        <v>456</v>
      </c>
      <c r="B28" s="630">
        <v>0</v>
      </c>
      <c r="C28" s="640">
        <f t="shared" si="2"/>
        <v>0</v>
      </c>
      <c r="D28" s="640"/>
      <c r="E28" s="633"/>
      <c r="F28" s="647">
        <v>0</v>
      </c>
      <c r="G28" s="640">
        <f t="shared" si="3"/>
        <v>0</v>
      </c>
      <c r="H28" s="638"/>
      <c r="I28" s="629"/>
    </row>
    <row r="29" spans="1:9" ht="9" customHeight="1">
      <c r="A29" s="641" t="s">
        <v>472</v>
      </c>
      <c r="B29" s="641">
        <v>947</v>
      </c>
      <c r="C29" s="642">
        <f t="shared" si="2"/>
        <v>0.5499419279907085</v>
      </c>
      <c r="D29" s="642"/>
      <c r="E29" s="643"/>
      <c r="F29" s="618">
        <v>373</v>
      </c>
      <c r="G29" s="642">
        <f t="shared" si="3"/>
        <v>0.5782945736434109</v>
      </c>
      <c r="H29" s="644"/>
      <c r="I29" s="629"/>
    </row>
    <row r="30" spans="1:9" ht="9" customHeight="1">
      <c r="A30" s="641" t="s">
        <v>473</v>
      </c>
      <c r="B30" s="641">
        <v>242</v>
      </c>
      <c r="C30" s="642">
        <f t="shared" si="2"/>
        <v>0.140534262485482</v>
      </c>
      <c r="D30" s="642"/>
      <c r="E30" s="643"/>
      <c r="F30" s="618">
        <v>87</v>
      </c>
      <c r="G30" s="642">
        <f t="shared" si="3"/>
        <v>0.13488372093023257</v>
      </c>
      <c r="H30" s="644"/>
      <c r="I30" s="629"/>
    </row>
    <row r="31" spans="1:9" ht="9" customHeight="1">
      <c r="A31" s="641" t="s">
        <v>474</v>
      </c>
      <c r="B31" s="641">
        <v>533</v>
      </c>
      <c r="C31" s="642">
        <f t="shared" si="2"/>
        <v>0.30952380952380953</v>
      </c>
      <c r="D31" s="642"/>
      <c r="E31" s="643"/>
      <c r="F31" s="618">
        <v>185</v>
      </c>
      <c r="G31" s="642">
        <f t="shared" si="3"/>
        <v>0.2868217054263566</v>
      </c>
      <c r="H31" s="644"/>
      <c r="I31" s="629"/>
    </row>
    <row r="32" spans="1:9" ht="9" customHeight="1">
      <c r="A32" s="630" t="s">
        <v>456</v>
      </c>
      <c r="B32" s="630">
        <v>0</v>
      </c>
      <c r="C32" s="640">
        <f t="shared" si="2"/>
        <v>0</v>
      </c>
      <c r="D32" s="640"/>
      <c r="E32" s="633"/>
      <c r="F32" s="647">
        <v>0</v>
      </c>
      <c r="G32" s="640">
        <f t="shared" si="3"/>
        <v>0</v>
      </c>
      <c r="H32" s="638"/>
      <c r="I32" s="629"/>
    </row>
    <row r="33" spans="1:9" ht="9" customHeight="1">
      <c r="A33" s="641" t="s">
        <v>475</v>
      </c>
      <c r="B33" s="641">
        <v>633</v>
      </c>
      <c r="C33" s="642">
        <f t="shared" si="2"/>
        <v>0.367595818815331</v>
      </c>
      <c r="D33" s="642"/>
      <c r="E33" s="643"/>
      <c r="F33" s="618">
        <v>239</v>
      </c>
      <c r="G33" s="642">
        <f t="shared" si="3"/>
        <v>0.3705426356589147</v>
      </c>
      <c r="H33" s="644"/>
      <c r="I33" s="629"/>
    </row>
    <row r="34" spans="1:9" ht="9" customHeight="1">
      <c r="A34" s="641" t="s">
        <v>476</v>
      </c>
      <c r="B34" s="641">
        <v>454</v>
      </c>
      <c r="C34" s="642">
        <f t="shared" si="2"/>
        <v>0.26364692218350755</v>
      </c>
      <c r="D34" s="642"/>
      <c r="E34" s="643"/>
      <c r="F34" s="618">
        <v>175</v>
      </c>
      <c r="G34" s="642">
        <f t="shared" si="3"/>
        <v>0.2713178294573643</v>
      </c>
      <c r="H34" s="644"/>
      <c r="I34" s="629"/>
    </row>
    <row r="35" spans="1:9" ht="9" customHeight="1">
      <c r="A35" s="641" t="s">
        <v>477</v>
      </c>
      <c r="B35" s="641">
        <v>376</v>
      </c>
      <c r="C35" s="642">
        <f t="shared" si="2"/>
        <v>0.2183507549361208</v>
      </c>
      <c r="D35" s="642"/>
      <c r="E35" s="643"/>
      <c r="F35" s="618">
        <v>136</v>
      </c>
      <c r="G35" s="642">
        <f t="shared" si="3"/>
        <v>0.21085271317829457</v>
      </c>
      <c r="H35" s="644"/>
      <c r="I35" s="629"/>
    </row>
    <row r="36" spans="1:9" ht="9" customHeight="1">
      <c r="A36" s="641" t="s">
        <v>478</v>
      </c>
      <c r="B36" s="641">
        <v>130</v>
      </c>
      <c r="C36" s="642">
        <f t="shared" si="2"/>
        <v>0.07549361207897794</v>
      </c>
      <c r="D36" s="642"/>
      <c r="E36" s="643"/>
      <c r="F36" s="618">
        <v>39</v>
      </c>
      <c r="G36" s="642">
        <f t="shared" si="3"/>
        <v>0.06046511627906977</v>
      </c>
      <c r="H36" s="644"/>
      <c r="I36" s="629"/>
    </row>
    <row r="37" spans="1:9" ht="9" customHeight="1">
      <c r="A37" s="641" t="s">
        <v>479</v>
      </c>
      <c r="B37" s="641">
        <v>129</v>
      </c>
      <c r="C37" s="642">
        <f t="shared" si="2"/>
        <v>0.07491289198606271</v>
      </c>
      <c r="D37" s="642"/>
      <c r="E37" s="643"/>
      <c r="F37" s="618">
        <v>56</v>
      </c>
      <c r="G37" s="642">
        <f t="shared" si="3"/>
        <v>0.08682170542635659</v>
      </c>
      <c r="H37" s="644"/>
      <c r="I37" s="629"/>
    </row>
    <row r="38" spans="1:9" ht="9" customHeight="1">
      <c r="A38" s="630" t="s">
        <v>456</v>
      </c>
      <c r="B38" s="630">
        <v>0</v>
      </c>
      <c r="C38" s="640">
        <f t="shared" si="2"/>
        <v>0</v>
      </c>
      <c r="D38" s="640"/>
      <c r="E38" s="633"/>
      <c r="F38" s="647">
        <v>0</v>
      </c>
      <c r="G38" s="640">
        <f t="shared" si="3"/>
        <v>0</v>
      </c>
      <c r="H38" s="638"/>
      <c r="I38" s="656" t="s">
        <v>20</v>
      </c>
    </row>
    <row r="39" spans="1:9" ht="9" customHeight="1">
      <c r="A39" s="641" t="s">
        <v>480</v>
      </c>
      <c r="B39" s="641">
        <v>695</v>
      </c>
      <c r="C39" s="642">
        <f t="shared" si="2"/>
        <v>0.40360046457607435</v>
      </c>
      <c r="D39" s="642"/>
      <c r="E39" s="643"/>
      <c r="F39" s="618">
        <v>249</v>
      </c>
      <c r="G39" s="642">
        <f t="shared" si="3"/>
        <v>0.386046511627907</v>
      </c>
      <c r="H39" s="644"/>
      <c r="I39" s="629"/>
    </row>
    <row r="40" spans="1:9" ht="9" customHeight="1">
      <c r="A40" s="641" t="s">
        <v>481</v>
      </c>
      <c r="B40" s="641">
        <v>1002</v>
      </c>
      <c r="C40" s="642">
        <f t="shared" si="2"/>
        <v>0.5818815331010453</v>
      </c>
      <c r="D40" s="642"/>
      <c r="E40" s="643"/>
      <c r="F40" s="618">
        <v>387</v>
      </c>
      <c r="G40" s="642">
        <f t="shared" si="3"/>
        <v>0.6</v>
      </c>
      <c r="H40" s="644"/>
      <c r="I40" s="629"/>
    </row>
    <row r="41" spans="1:9" ht="9" customHeight="1">
      <c r="A41" s="641" t="s">
        <v>482</v>
      </c>
      <c r="B41" s="641">
        <v>25</v>
      </c>
      <c r="C41" s="642">
        <f t="shared" si="2"/>
        <v>0.014518002322880372</v>
      </c>
      <c r="D41" s="642"/>
      <c r="E41" s="643"/>
      <c r="F41" s="618">
        <v>9</v>
      </c>
      <c r="G41" s="642">
        <f t="shared" si="3"/>
        <v>0.013953488372093023</v>
      </c>
      <c r="H41" s="644"/>
      <c r="I41" s="629"/>
    </row>
    <row r="42" spans="1:9" ht="9" customHeight="1">
      <c r="A42" s="630" t="s">
        <v>456</v>
      </c>
      <c r="B42" s="630">
        <v>0</v>
      </c>
      <c r="C42" s="640">
        <f t="shared" si="2"/>
        <v>0</v>
      </c>
      <c r="D42" s="640"/>
      <c r="E42" s="633"/>
      <c r="F42" s="647">
        <v>0</v>
      </c>
      <c r="G42" s="640">
        <f t="shared" si="3"/>
        <v>0</v>
      </c>
      <c r="H42" s="638"/>
      <c r="I42" s="629"/>
    </row>
    <row r="43" spans="1:9" ht="9" customHeight="1">
      <c r="A43" s="641" t="s">
        <v>483</v>
      </c>
      <c r="B43" s="641" t="s">
        <v>20</v>
      </c>
      <c r="C43" s="642"/>
      <c r="D43" s="642"/>
      <c r="E43" s="643"/>
      <c r="F43" s="618"/>
      <c r="G43" s="642"/>
      <c r="H43" s="644"/>
      <c r="I43" s="629"/>
    </row>
    <row r="44" spans="1:9" ht="9" customHeight="1">
      <c r="A44" s="641" t="s">
        <v>484</v>
      </c>
      <c r="B44" s="641">
        <v>6</v>
      </c>
      <c r="C44" s="642">
        <f aca="true" t="shared" si="4" ref="C44:C53">B44/NewAll</f>
        <v>0.008633093525179856</v>
      </c>
      <c r="D44" s="642"/>
      <c r="E44" s="643"/>
      <c r="F44" s="618">
        <v>1</v>
      </c>
      <c r="G44" s="642">
        <f aca="true" t="shared" si="5" ref="G44:G53">F44/NewRes</f>
        <v>0.004016064257028112</v>
      </c>
      <c r="H44" s="644"/>
      <c r="I44" s="629"/>
    </row>
    <row r="45" spans="1:9" ht="9" customHeight="1">
      <c r="A45" s="657" t="s">
        <v>485</v>
      </c>
      <c r="B45" s="618">
        <v>262</v>
      </c>
      <c r="C45" s="642">
        <f t="shared" si="4"/>
        <v>0.376978417266187</v>
      </c>
      <c r="D45" s="658"/>
      <c r="F45" s="618">
        <v>115</v>
      </c>
      <c r="G45" s="642">
        <f t="shared" si="5"/>
        <v>0.46184738955823296</v>
      </c>
      <c r="H45" s="644"/>
      <c r="I45" s="629"/>
    </row>
    <row r="46" spans="1:9" ht="9" customHeight="1">
      <c r="A46" s="641" t="s">
        <v>486</v>
      </c>
      <c r="B46" s="641">
        <v>236</v>
      </c>
      <c r="C46" s="642">
        <f t="shared" si="4"/>
        <v>0.339568345323741</v>
      </c>
      <c r="D46" s="642"/>
      <c r="E46" s="643"/>
      <c r="F46" s="618">
        <v>66</v>
      </c>
      <c r="G46" s="642">
        <f t="shared" si="5"/>
        <v>0.26506024096385544</v>
      </c>
      <c r="H46" s="644"/>
      <c r="I46" s="629"/>
    </row>
    <row r="47" spans="1:9" ht="9" customHeight="1">
      <c r="A47" s="657" t="s">
        <v>487</v>
      </c>
      <c r="B47" s="618">
        <v>77</v>
      </c>
      <c r="C47" s="642">
        <f t="shared" si="4"/>
        <v>0.11079136690647481</v>
      </c>
      <c r="D47" s="658"/>
      <c r="F47" s="618">
        <v>25</v>
      </c>
      <c r="G47" s="642">
        <f t="shared" si="5"/>
        <v>0.10040160642570281</v>
      </c>
      <c r="H47" s="644"/>
      <c r="I47" s="629"/>
    </row>
    <row r="48" spans="1:9" ht="9" customHeight="1">
      <c r="A48" s="657" t="s">
        <v>488</v>
      </c>
      <c r="B48" s="618">
        <v>36</v>
      </c>
      <c r="C48" s="642">
        <f t="shared" si="4"/>
        <v>0.051798561151079135</v>
      </c>
      <c r="D48" s="658"/>
      <c r="F48" s="618">
        <v>6</v>
      </c>
      <c r="G48" s="642">
        <f t="shared" si="5"/>
        <v>0.024096385542168676</v>
      </c>
      <c r="H48" s="644"/>
      <c r="I48" s="629"/>
    </row>
    <row r="49" spans="1:9" ht="9" customHeight="1">
      <c r="A49" s="657" t="s">
        <v>489</v>
      </c>
      <c r="B49" s="618">
        <v>16</v>
      </c>
      <c r="C49" s="642">
        <f t="shared" si="4"/>
        <v>0.02302158273381295</v>
      </c>
      <c r="D49" s="658"/>
      <c r="F49" s="618">
        <v>5</v>
      </c>
      <c r="G49" s="642">
        <f t="shared" si="5"/>
        <v>0.020080321285140562</v>
      </c>
      <c r="H49" s="644"/>
      <c r="I49" s="629"/>
    </row>
    <row r="50" spans="1:9" ht="9" customHeight="1">
      <c r="A50" s="657" t="s">
        <v>490</v>
      </c>
      <c r="B50" s="618">
        <v>4</v>
      </c>
      <c r="C50" s="642">
        <f t="shared" si="4"/>
        <v>0.0057553956834532375</v>
      </c>
      <c r="D50" s="658"/>
      <c r="F50" s="618">
        <v>1</v>
      </c>
      <c r="G50" s="642">
        <f t="shared" si="5"/>
        <v>0.004016064257028112</v>
      </c>
      <c r="H50" s="644"/>
      <c r="I50" s="629"/>
    </row>
    <row r="51" spans="1:9" ht="9" customHeight="1">
      <c r="A51" s="657" t="s">
        <v>491</v>
      </c>
      <c r="B51" s="618">
        <v>6</v>
      </c>
      <c r="C51" s="642">
        <f t="shared" si="4"/>
        <v>0.008633093525179856</v>
      </c>
      <c r="D51" s="658"/>
      <c r="F51" s="618">
        <v>1</v>
      </c>
      <c r="G51" s="642">
        <f t="shared" si="5"/>
        <v>0.004016064257028112</v>
      </c>
      <c r="H51" s="644"/>
      <c r="I51" s="629"/>
    </row>
    <row r="52" spans="1:9" ht="9" customHeight="1">
      <c r="A52" s="657" t="s">
        <v>492</v>
      </c>
      <c r="B52" s="618">
        <v>52</v>
      </c>
      <c r="C52" s="642">
        <f t="shared" si="4"/>
        <v>0.07482014388489208</v>
      </c>
      <c r="D52" s="658"/>
      <c r="F52" s="618">
        <v>29</v>
      </c>
      <c r="G52" s="642">
        <f t="shared" si="5"/>
        <v>0.11646586345381527</v>
      </c>
      <c r="H52" s="644"/>
      <c r="I52" s="629"/>
    </row>
    <row r="53" spans="1:9" ht="9" customHeight="1">
      <c r="A53" s="659" t="s">
        <v>456</v>
      </c>
      <c r="B53" s="631">
        <v>0</v>
      </c>
      <c r="C53" s="640">
        <f t="shared" si="4"/>
        <v>0</v>
      </c>
      <c r="D53" s="655"/>
      <c r="E53" s="660"/>
      <c r="F53" s="631">
        <v>0</v>
      </c>
      <c r="G53" s="640">
        <f t="shared" si="5"/>
        <v>0</v>
      </c>
      <c r="H53" s="638"/>
      <c r="I53" s="629"/>
    </row>
    <row r="54" spans="1:9" ht="9" customHeight="1">
      <c r="A54" s="661" t="s">
        <v>493</v>
      </c>
      <c r="B54" s="618"/>
      <c r="C54" s="642"/>
      <c r="D54" s="658"/>
      <c r="F54" s="618"/>
      <c r="G54" s="642"/>
      <c r="H54" s="644"/>
      <c r="I54" s="629"/>
    </row>
    <row r="55" spans="1:9" ht="9" customHeight="1">
      <c r="A55" s="657" t="s">
        <v>494</v>
      </c>
      <c r="B55" s="618">
        <f>8+199</f>
        <v>207</v>
      </c>
      <c r="C55" s="642">
        <f aca="true" t="shared" si="6" ref="C55:C64">B55/TRFall</f>
        <v>0.20658682634730538</v>
      </c>
      <c r="D55" s="658"/>
      <c r="F55" s="618">
        <v>83</v>
      </c>
      <c r="G55" s="642">
        <f aca="true" t="shared" si="7" ref="G55:G64">F55/TRFres</f>
        <v>0.2144702842377261</v>
      </c>
      <c r="H55" s="644"/>
      <c r="I55" s="629"/>
    </row>
    <row r="56" spans="1:9" ht="9" customHeight="1">
      <c r="A56" s="657" t="s">
        <v>495</v>
      </c>
      <c r="B56" s="618">
        <v>351</v>
      </c>
      <c r="C56" s="642">
        <f t="shared" si="6"/>
        <v>0.3502994011976048</v>
      </c>
      <c r="D56" s="658"/>
      <c r="F56" s="618">
        <v>132</v>
      </c>
      <c r="G56" s="642">
        <f t="shared" si="7"/>
        <v>0.34108527131782945</v>
      </c>
      <c r="H56" s="644"/>
      <c r="I56" s="629"/>
    </row>
    <row r="57" spans="1:9" ht="9" customHeight="1">
      <c r="A57" s="657" t="s">
        <v>485</v>
      </c>
      <c r="B57" s="618">
        <v>234</v>
      </c>
      <c r="C57" s="642">
        <f t="shared" si="6"/>
        <v>0.23353293413173654</v>
      </c>
      <c r="D57" s="658"/>
      <c r="F57" s="618">
        <v>98</v>
      </c>
      <c r="G57" s="642">
        <f t="shared" si="7"/>
        <v>0.2532299741602067</v>
      </c>
      <c r="H57" s="644"/>
      <c r="I57" s="629"/>
    </row>
    <row r="58" spans="1:9" ht="9" customHeight="1">
      <c r="A58" s="657" t="s">
        <v>486</v>
      </c>
      <c r="B58" s="618">
        <v>86</v>
      </c>
      <c r="C58" s="642">
        <f t="shared" si="6"/>
        <v>0.08582834331337326</v>
      </c>
      <c r="D58" s="658"/>
      <c r="F58" s="618">
        <v>32</v>
      </c>
      <c r="G58" s="642">
        <f t="shared" si="7"/>
        <v>0.082687338501292</v>
      </c>
      <c r="H58" s="644"/>
      <c r="I58" s="629"/>
    </row>
    <row r="59" spans="1:9" ht="9" customHeight="1">
      <c r="A59" s="657" t="s">
        <v>487</v>
      </c>
      <c r="B59" s="618">
        <v>36</v>
      </c>
      <c r="C59" s="642">
        <f t="shared" si="6"/>
        <v>0.03592814371257485</v>
      </c>
      <c r="D59" s="658"/>
      <c r="F59" s="618">
        <v>11</v>
      </c>
      <c r="G59" s="642">
        <f t="shared" si="7"/>
        <v>0.028423772609819122</v>
      </c>
      <c r="H59" s="644"/>
      <c r="I59" s="629"/>
    </row>
    <row r="60" spans="1:9" ht="9" customHeight="1">
      <c r="A60" s="657" t="s">
        <v>488</v>
      </c>
      <c r="B60" s="618">
        <v>18</v>
      </c>
      <c r="C60" s="642">
        <f t="shared" si="6"/>
        <v>0.017964071856287425</v>
      </c>
      <c r="D60" s="658"/>
      <c r="F60" s="618">
        <v>5</v>
      </c>
      <c r="G60" s="642">
        <f t="shared" si="7"/>
        <v>0.012919896640826873</v>
      </c>
      <c r="H60" s="644"/>
      <c r="I60" s="629"/>
    </row>
    <row r="61" spans="1:9" ht="9" customHeight="1">
      <c r="A61" s="657" t="s">
        <v>489</v>
      </c>
      <c r="B61" s="618">
        <v>17</v>
      </c>
      <c r="C61" s="642">
        <f t="shared" si="6"/>
        <v>0.016966067864271458</v>
      </c>
      <c r="D61" s="658"/>
      <c r="F61" s="618">
        <v>4</v>
      </c>
      <c r="G61" s="642">
        <f t="shared" si="7"/>
        <v>0.0103359173126615</v>
      </c>
      <c r="H61" s="644"/>
      <c r="I61" s="629"/>
    </row>
    <row r="62" spans="1:9" ht="9" customHeight="1">
      <c r="A62" s="657" t="s">
        <v>490</v>
      </c>
      <c r="B62" s="618">
        <v>8</v>
      </c>
      <c r="C62" s="642">
        <f t="shared" si="6"/>
        <v>0.007984031936127744</v>
      </c>
      <c r="D62" s="658"/>
      <c r="F62" s="618">
        <v>1</v>
      </c>
      <c r="G62" s="642">
        <f t="shared" si="7"/>
        <v>0.002583979328165375</v>
      </c>
      <c r="H62" s="644"/>
      <c r="I62" s="629"/>
    </row>
    <row r="63" spans="1:9" ht="9" customHeight="1">
      <c r="A63" s="657" t="s">
        <v>496</v>
      </c>
      <c r="B63" s="618">
        <f>6+39</f>
        <v>45</v>
      </c>
      <c r="C63" s="642">
        <f t="shared" si="6"/>
        <v>0.04491017964071856</v>
      </c>
      <c r="D63" s="658"/>
      <c r="F63" s="618">
        <v>21</v>
      </c>
      <c r="G63" s="642">
        <f t="shared" si="7"/>
        <v>0.05426356589147287</v>
      </c>
      <c r="H63" s="644"/>
      <c r="I63" s="629"/>
    </row>
    <row r="64" spans="1:9" ht="9" customHeight="1">
      <c r="A64" s="659" t="s">
        <v>456</v>
      </c>
      <c r="B64" s="631">
        <v>0</v>
      </c>
      <c r="C64" s="640">
        <f t="shared" si="6"/>
        <v>0</v>
      </c>
      <c r="D64" s="655"/>
      <c r="E64" s="660"/>
      <c r="F64" s="631">
        <v>0</v>
      </c>
      <c r="G64" s="640">
        <f t="shared" si="7"/>
        <v>0</v>
      </c>
      <c r="H64" s="638"/>
      <c r="I64" s="629"/>
    </row>
    <row r="65" spans="1:9" ht="9" customHeight="1">
      <c r="A65" s="657" t="s">
        <v>497</v>
      </c>
      <c r="B65" s="662" t="s">
        <v>498</v>
      </c>
      <c r="C65" s="618">
        <v>3.119</v>
      </c>
      <c r="D65" s="663"/>
      <c r="F65" s="662" t="s">
        <v>498</v>
      </c>
      <c r="G65" s="664">
        <v>3.19958</v>
      </c>
      <c r="H65" s="644"/>
      <c r="I65" s="629"/>
    </row>
    <row r="66" spans="1:9" ht="9" customHeight="1">
      <c r="A66" s="665"/>
      <c r="B66" s="662" t="s">
        <v>499</v>
      </c>
      <c r="C66" s="664">
        <v>0.47088</v>
      </c>
      <c r="D66" s="663"/>
      <c r="F66" s="662" t="s">
        <v>499</v>
      </c>
      <c r="G66" s="664">
        <v>0.479</v>
      </c>
      <c r="H66" s="644"/>
      <c r="I66" s="629"/>
    </row>
    <row r="67" spans="1:9" ht="9" customHeight="1">
      <c r="A67" s="665"/>
      <c r="B67" s="662" t="s">
        <v>500</v>
      </c>
      <c r="C67" s="664">
        <v>4</v>
      </c>
      <c r="D67" s="666"/>
      <c r="F67" s="662" t="s">
        <v>500</v>
      </c>
      <c r="G67" s="664">
        <v>4</v>
      </c>
      <c r="H67" s="644"/>
      <c r="I67" s="629"/>
    </row>
    <row r="68" spans="1:9" ht="9" customHeight="1">
      <c r="A68" s="665"/>
      <c r="B68" s="662" t="s">
        <v>501</v>
      </c>
      <c r="C68" s="664">
        <v>2.013</v>
      </c>
      <c r="D68" s="663"/>
      <c r="F68" s="662" t="s">
        <v>501</v>
      </c>
      <c r="G68" s="664">
        <v>2.047</v>
      </c>
      <c r="H68" s="644"/>
      <c r="I68" s="629"/>
    </row>
    <row r="69" spans="1:9" ht="9" customHeight="1">
      <c r="A69" s="667"/>
      <c r="B69" s="637" t="s">
        <v>502</v>
      </c>
      <c r="C69" s="631">
        <v>1719</v>
      </c>
      <c r="D69" s="632"/>
      <c r="E69" s="660"/>
      <c r="F69" s="637" t="s">
        <v>502</v>
      </c>
      <c r="G69" s="631">
        <v>643</v>
      </c>
      <c r="H69" s="638"/>
      <c r="I69" s="629"/>
    </row>
    <row r="70" spans="1:9" ht="11.25">
      <c r="A70" s="626" t="s">
        <v>20</v>
      </c>
      <c r="B70" s="651"/>
      <c r="C70" s="668"/>
      <c r="D70" s="668"/>
      <c r="E70" s="668"/>
      <c r="F70" s="668"/>
      <c r="G70" s="668"/>
      <c r="H70" s="669"/>
      <c r="I70" s="629"/>
    </row>
    <row r="71" spans="1:9" ht="11.25">
      <c r="A71" s="670" t="s">
        <v>503</v>
      </c>
      <c r="B71" s="671"/>
      <c r="C71" s="671"/>
      <c r="D71" s="671"/>
      <c r="E71" s="671"/>
      <c r="F71" s="671"/>
      <c r="G71" s="671"/>
      <c r="H71" s="644"/>
      <c r="I71" s="629"/>
    </row>
    <row r="72" spans="1:9" ht="4.5" customHeight="1">
      <c r="A72" s="633"/>
      <c r="B72" s="660"/>
      <c r="C72" s="660"/>
      <c r="D72" s="660"/>
      <c r="E72" s="660"/>
      <c r="F72" s="660"/>
      <c r="G72" s="660"/>
      <c r="H72" s="638"/>
      <c r="I72" s="629"/>
    </row>
    <row r="90" ht="11.25">
      <c r="A90" s="672" t="s">
        <v>20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0"/>
  <sheetViews>
    <sheetView showGridLines="0" workbookViewId="0" topLeftCell="A1">
      <selection activeCell="B477" sqref="B477"/>
    </sheetView>
  </sheetViews>
  <sheetFormatPr defaultColWidth="9.140625" defaultRowHeight="12.75"/>
  <cols>
    <col min="1" max="1" width="2.421875" style="5" customWidth="1"/>
    <col min="2" max="2" width="31.421875" style="5" customWidth="1"/>
    <col min="3" max="3" width="6.57421875" style="5" customWidth="1"/>
    <col min="4" max="5" width="13.00390625" style="5" customWidth="1"/>
    <col min="6" max="6" width="7.421875" style="5" customWidth="1"/>
    <col min="7" max="8" width="13.00390625" style="5" customWidth="1"/>
    <col min="9" max="9" width="7.421875" style="5" customWidth="1"/>
    <col min="10" max="11" width="11.28125" style="5" customWidth="1"/>
    <col min="12" max="16384" width="9.140625" style="5" customWidth="1"/>
  </cols>
  <sheetData>
    <row r="1" spans="1:11" ht="12.75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4" t="s">
        <v>1</v>
      </c>
    </row>
    <row r="2" spans="1:11" ht="12.75">
      <c r="A2" s="6" t="s">
        <v>2</v>
      </c>
      <c r="B2" s="7"/>
      <c r="C2" s="8"/>
      <c r="D2" s="8"/>
      <c r="E2" s="7"/>
      <c r="F2" s="7"/>
      <c r="G2" s="7"/>
      <c r="H2" s="7"/>
      <c r="I2" s="7"/>
      <c r="J2" s="7"/>
      <c r="K2" s="9"/>
    </row>
    <row r="3" spans="1:11" ht="12.75">
      <c r="A3" s="6" t="s">
        <v>3</v>
      </c>
      <c r="B3" s="7"/>
      <c r="C3" s="8"/>
      <c r="D3" s="8"/>
      <c r="E3" s="7"/>
      <c r="F3" s="7"/>
      <c r="G3" s="7"/>
      <c r="H3" s="7"/>
      <c r="I3" s="7"/>
      <c r="J3" s="7"/>
      <c r="K3" s="9"/>
    </row>
    <row r="4" spans="1:11" ht="12.75">
      <c r="A4" s="10" t="s">
        <v>4</v>
      </c>
      <c r="B4" s="7"/>
      <c r="C4" s="7"/>
      <c r="D4" s="7"/>
      <c r="E4" s="11"/>
      <c r="F4" s="11"/>
      <c r="G4" s="11"/>
      <c r="H4" s="11"/>
      <c r="I4" s="11"/>
      <c r="J4" s="11"/>
      <c r="K4" s="12"/>
    </row>
    <row r="5" spans="1:11" ht="11.25">
      <c r="A5" s="13"/>
      <c r="B5" s="14"/>
      <c r="C5" s="15"/>
      <c r="D5" s="16" t="s">
        <v>5</v>
      </c>
      <c r="E5" s="17" t="s">
        <v>5</v>
      </c>
      <c r="F5" s="18"/>
      <c r="G5" s="7"/>
      <c r="H5" s="7"/>
      <c r="I5" s="7"/>
      <c r="J5" s="7"/>
      <c r="K5" s="9"/>
    </row>
    <row r="6" spans="1:11" ht="12.75">
      <c r="A6" s="19" t="s">
        <v>6</v>
      </c>
      <c r="B6" s="9"/>
      <c r="C6" s="20"/>
      <c r="D6" s="21" t="s">
        <v>7</v>
      </c>
      <c r="E6" s="22" t="s">
        <v>8</v>
      </c>
      <c r="F6" s="18"/>
      <c r="G6" s="7"/>
      <c r="H6" s="7"/>
      <c r="I6" s="7"/>
      <c r="J6" s="7"/>
      <c r="K6" s="9"/>
    </row>
    <row r="7" spans="1:11" ht="11.25">
      <c r="A7" s="23"/>
      <c r="B7" s="12"/>
      <c r="C7" s="24" t="s">
        <v>9</v>
      </c>
      <c r="D7" s="25" t="s">
        <v>10</v>
      </c>
      <c r="E7" s="26" t="s">
        <v>10</v>
      </c>
      <c r="F7" s="18"/>
      <c r="G7" s="7"/>
      <c r="H7" s="7"/>
      <c r="I7" s="7"/>
      <c r="J7" s="7"/>
      <c r="K7" s="9"/>
    </row>
    <row r="8" spans="1:11" ht="11.25">
      <c r="A8" s="23"/>
      <c r="B8" s="11" t="s">
        <v>11</v>
      </c>
      <c r="C8" s="23">
        <v>645</v>
      </c>
      <c r="D8" s="27">
        <v>1</v>
      </c>
      <c r="E8" s="12"/>
      <c r="F8" s="18"/>
      <c r="G8" s="7"/>
      <c r="H8" s="7"/>
      <c r="I8" s="7"/>
      <c r="J8" s="7"/>
      <c r="K8" s="9"/>
    </row>
    <row r="9" spans="1:11" ht="11.25">
      <c r="A9" s="18" t="s">
        <v>12</v>
      </c>
      <c r="B9" s="7" t="s">
        <v>13</v>
      </c>
      <c r="C9" s="18"/>
      <c r="D9" s="7"/>
      <c r="E9" s="9"/>
      <c r="F9" s="18"/>
      <c r="G9" s="7"/>
      <c r="H9" s="7"/>
      <c r="I9" s="7"/>
      <c r="J9" s="7"/>
      <c r="K9" s="9"/>
    </row>
    <row r="10" spans="1:11" ht="11.25">
      <c r="A10" s="18"/>
      <c r="B10" s="7" t="s">
        <v>14</v>
      </c>
      <c r="C10" s="18">
        <v>445</v>
      </c>
      <c r="D10" s="28">
        <f>C10/total</f>
        <v>0.689922480620155</v>
      </c>
      <c r="E10" s="29">
        <f>C10/(total-q1n)</f>
        <v>0.6920684292379471</v>
      </c>
      <c r="F10" s="18"/>
      <c r="G10" s="7"/>
      <c r="H10" s="7"/>
      <c r="I10" s="7"/>
      <c r="J10" s="7"/>
      <c r="K10" s="9"/>
    </row>
    <row r="11" spans="1:11" ht="11.25">
      <c r="A11" s="18"/>
      <c r="B11" s="7" t="s">
        <v>15</v>
      </c>
      <c r="C11" s="18">
        <v>111</v>
      </c>
      <c r="D11" s="28">
        <f>C11/total</f>
        <v>0.17209302325581396</v>
      </c>
      <c r="E11" s="29">
        <f>C11/(total-q1n)</f>
        <v>0.17262830482115085</v>
      </c>
      <c r="F11" s="18"/>
      <c r="G11" s="7"/>
      <c r="H11" s="7"/>
      <c r="I11" s="7"/>
      <c r="J11" s="7"/>
      <c r="K11" s="9"/>
    </row>
    <row r="12" spans="1:11" ht="11.25">
      <c r="A12" s="18"/>
      <c r="B12" s="7" t="s">
        <v>16</v>
      </c>
      <c r="C12" s="18">
        <v>44</v>
      </c>
      <c r="D12" s="28">
        <f>C12/total</f>
        <v>0.06821705426356589</v>
      </c>
      <c r="E12" s="29">
        <f>C12/(total-q1n)</f>
        <v>0.06842923794712286</v>
      </c>
      <c r="F12" s="18"/>
      <c r="G12" s="7"/>
      <c r="H12" s="7"/>
      <c r="I12" s="7"/>
      <c r="J12" s="7"/>
      <c r="K12" s="9"/>
    </row>
    <row r="13" spans="1:11" ht="11.25">
      <c r="A13" s="18"/>
      <c r="B13" s="7" t="s">
        <v>17</v>
      </c>
      <c r="C13" s="18">
        <v>43</v>
      </c>
      <c r="D13" s="28">
        <f>C13/total</f>
        <v>0.06666666666666667</v>
      </c>
      <c r="E13" s="29">
        <f>C13/(total-q1n)</f>
        <v>0.06687402799377916</v>
      </c>
      <c r="F13" s="18"/>
      <c r="G13" s="7"/>
      <c r="H13" s="7"/>
      <c r="I13" s="7"/>
      <c r="J13" s="7"/>
      <c r="K13" s="9"/>
    </row>
    <row r="14" spans="1:11" ht="11.25">
      <c r="A14" s="23"/>
      <c r="B14" s="11" t="s">
        <v>18</v>
      </c>
      <c r="C14" s="23">
        <v>2</v>
      </c>
      <c r="D14" s="27">
        <f>C14/total</f>
        <v>0.0031007751937984496</v>
      </c>
      <c r="E14" s="30" t="s">
        <v>19</v>
      </c>
      <c r="F14" s="18"/>
      <c r="G14" s="7"/>
      <c r="H14" s="7"/>
      <c r="I14" s="7"/>
      <c r="J14" s="7"/>
      <c r="K14" s="9"/>
    </row>
    <row r="15" spans="1:11" ht="2.25" customHeight="1">
      <c r="A15" s="18"/>
      <c r="B15" s="7"/>
      <c r="C15" s="18"/>
      <c r="D15" s="28"/>
      <c r="E15" s="31"/>
      <c r="F15" s="18"/>
      <c r="G15" s="7"/>
      <c r="H15" s="7"/>
      <c r="I15" s="7"/>
      <c r="J15" s="7"/>
      <c r="K15" s="9"/>
    </row>
    <row r="16" spans="1:11" ht="11.25">
      <c r="A16" s="13"/>
      <c r="B16" s="2"/>
      <c r="C16" s="13"/>
      <c r="D16" s="32"/>
      <c r="E16" s="33"/>
      <c r="F16" s="18"/>
      <c r="G16" s="7"/>
      <c r="H16" s="7"/>
      <c r="I16" s="7"/>
      <c r="J16" s="7"/>
      <c r="K16" s="9"/>
    </row>
    <row r="17" spans="1:11" ht="10.5" customHeight="1">
      <c r="A17" s="18"/>
      <c r="B17" s="7"/>
      <c r="C17" s="18"/>
      <c r="D17" s="7"/>
      <c r="E17" s="9"/>
      <c r="F17" s="18"/>
      <c r="G17" s="7"/>
      <c r="H17" s="7"/>
      <c r="I17" s="7"/>
      <c r="J17" s="7"/>
      <c r="K17" s="9"/>
    </row>
    <row r="18" spans="1:11" ht="21" customHeight="1">
      <c r="A18" s="18"/>
      <c r="B18" s="7" t="s">
        <v>20</v>
      </c>
      <c r="C18" s="18"/>
      <c r="D18" s="7"/>
      <c r="E18" s="9"/>
      <c r="F18" s="18"/>
      <c r="G18" s="7"/>
      <c r="H18" s="7"/>
      <c r="I18" s="7"/>
      <c r="J18" s="7"/>
      <c r="K18" s="9"/>
    </row>
    <row r="19" spans="1:11" ht="11.25">
      <c r="A19" s="18"/>
      <c r="B19" s="7" t="s">
        <v>20</v>
      </c>
      <c r="C19" s="18"/>
      <c r="D19" s="7"/>
      <c r="E19" s="9"/>
      <c r="F19" s="18"/>
      <c r="G19" s="7"/>
      <c r="H19" s="7"/>
      <c r="I19" s="7"/>
      <c r="J19" s="7"/>
      <c r="K19" s="9"/>
    </row>
    <row r="20" spans="1:11" ht="11.25">
      <c r="A20" s="23"/>
      <c r="B20" s="11" t="s">
        <v>20</v>
      </c>
      <c r="C20" s="23">
        <f>C10+C11</f>
        <v>556</v>
      </c>
      <c r="D20" s="27">
        <v>1</v>
      </c>
      <c r="E20" s="34"/>
      <c r="F20" s="18"/>
      <c r="G20" s="7"/>
      <c r="H20" s="7"/>
      <c r="I20" s="7"/>
      <c r="J20" s="7"/>
      <c r="K20" s="9"/>
    </row>
    <row r="21" spans="1:11" ht="11.25">
      <c r="A21" s="18" t="str">
        <f>"2."</f>
        <v>2.</v>
      </c>
      <c r="B21" s="7" t="s">
        <v>21</v>
      </c>
      <c r="C21" s="18"/>
      <c r="D21" s="28"/>
      <c r="E21" s="29"/>
      <c r="F21" s="18"/>
      <c r="G21" s="7"/>
      <c r="H21" s="7"/>
      <c r="I21" s="7"/>
      <c r="J21" s="7"/>
      <c r="K21" s="9"/>
    </row>
    <row r="22" spans="1:11" ht="11.25">
      <c r="A22" s="18"/>
      <c r="B22" s="7" t="s">
        <v>22</v>
      </c>
      <c r="C22" s="18">
        <v>342</v>
      </c>
      <c r="D22" s="28">
        <f>C22/total1</f>
        <v>0.6151079136690647</v>
      </c>
      <c r="E22" s="29">
        <f>C22/(total1-q2n)</f>
        <v>0.66796875</v>
      </c>
      <c r="F22" s="18"/>
      <c r="G22" s="7"/>
      <c r="H22" s="7"/>
      <c r="I22" s="7"/>
      <c r="J22" s="7"/>
      <c r="K22" s="9"/>
    </row>
    <row r="23" spans="1:11" ht="11.25">
      <c r="A23" s="18"/>
      <c r="B23" s="7" t="s">
        <v>23</v>
      </c>
      <c r="C23" s="18">
        <v>130</v>
      </c>
      <c r="D23" s="28">
        <f>C23/total1</f>
        <v>0.23381294964028776</v>
      </c>
      <c r="E23" s="29">
        <f>C23/(total1-q2n)</f>
        <v>0.25390625</v>
      </c>
      <c r="F23" s="18"/>
      <c r="G23" s="7"/>
      <c r="H23" s="7"/>
      <c r="I23" s="7"/>
      <c r="J23" s="7"/>
      <c r="K23" s="9"/>
    </row>
    <row r="24" spans="1:11" ht="11.25">
      <c r="A24" s="18"/>
      <c r="B24" s="7" t="s">
        <v>24</v>
      </c>
      <c r="C24" s="18">
        <v>40</v>
      </c>
      <c r="D24" s="28">
        <f>C24/total1</f>
        <v>0.07194244604316546</v>
      </c>
      <c r="E24" s="29">
        <f>C24/(total1-q2n)</f>
        <v>0.078125</v>
      </c>
      <c r="F24" s="18"/>
      <c r="G24" s="7"/>
      <c r="H24" s="7"/>
      <c r="I24" s="7"/>
      <c r="J24" s="7"/>
      <c r="K24" s="9"/>
    </row>
    <row r="25" spans="1:11" ht="11.25">
      <c r="A25" s="23"/>
      <c r="B25" s="11" t="s">
        <v>18</v>
      </c>
      <c r="C25" s="23">
        <v>44</v>
      </c>
      <c r="D25" s="27">
        <f>C25/total1</f>
        <v>0.07913669064748201</v>
      </c>
      <c r="E25" s="30" t="s">
        <v>19</v>
      </c>
      <c r="F25" s="18"/>
      <c r="G25" s="7"/>
      <c r="H25" s="7"/>
      <c r="I25" s="7"/>
      <c r="J25" s="7"/>
      <c r="K25" s="9"/>
    </row>
    <row r="26" spans="1:11" ht="11.25">
      <c r="A26" s="18" t="str">
        <f>"3."</f>
        <v>3.</v>
      </c>
      <c r="B26" s="7" t="s">
        <v>25</v>
      </c>
      <c r="C26" s="18"/>
      <c r="D26" s="28"/>
      <c r="E26" s="31"/>
      <c r="F26" s="18"/>
      <c r="G26" s="7"/>
      <c r="H26" s="7"/>
      <c r="I26" s="7"/>
      <c r="J26" s="7"/>
      <c r="K26" s="9"/>
    </row>
    <row r="27" spans="1:11" ht="11.25">
      <c r="A27" s="18"/>
      <c r="B27" s="7" t="s">
        <v>26</v>
      </c>
      <c r="C27" s="18">
        <v>19</v>
      </c>
      <c r="D27" s="28">
        <f aca="true" t="shared" si="0" ref="D27:D37">C27/total1</f>
        <v>0.0341726618705036</v>
      </c>
      <c r="E27" s="29">
        <f aca="true" t="shared" si="1" ref="E27:E36">C27/(total1-q3n)</f>
        <v>0.03423423423423423</v>
      </c>
      <c r="F27" s="18"/>
      <c r="G27" s="7"/>
      <c r="H27" s="7"/>
      <c r="I27" s="7"/>
      <c r="J27" s="7"/>
      <c r="K27" s="9"/>
    </row>
    <row r="28" spans="1:11" ht="11.25">
      <c r="A28" s="18"/>
      <c r="B28" s="7" t="s">
        <v>27</v>
      </c>
      <c r="C28" s="18">
        <v>186</v>
      </c>
      <c r="D28" s="28">
        <f t="shared" si="0"/>
        <v>0.3345323741007194</v>
      </c>
      <c r="E28" s="29">
        <f t="shared" si="1"/>
        <v>0.33513513513513515</v>
      </c>
      <c r="F28" s="18"/>
      <c r="G28" s="7"/>
      <c r="H28" s="7"/>
      <c r="I28" s="7"/>
      <c r="J28" s="7"/>
      <c r="K28" s="9"/>
    </row>
    <row r="29" spans="1:11" ht="11.25">
      <c r="A29" s="18"/>
      <c r="B29" s="7" t="s">
        <v>28</v>
      </c>
      <c r="C29" s="18">
        <v>31</v>
      </c>
      <c r="D29" s="28">
        <f t="shared" si="0"/>
        <v>0.05575539568345324</v>
      </c>
      <c r="E29" s="29">
        <f t="shared" si="1"/>
        <v>0.055855855855855854</v>
      </c>
      <c r="F29" s="18"/>
      <c r="G29" s="7"/>
      <c r="H29" s="7"/>
      <c r="I29" s="7"/>
      <c r="J29" s="7"/>
      <c r="K29" s="9"/>
    </row>
    <row r="30" spans="1:11" ht="11.25">
      <c r="A30" s="18"/>
      <c r="B30" s="7" t="s">
        <v>29</v>
      </c>
      <c r="C30" s="18">
        <v>44</v>
      </c>
      <c r="D30" s="28">
        <f t="shared" si="0"/>
        <v>0.07913669064748201</v>
      </c>
      <c r="E30" s="29">
        <f t="shared" si="1"/>
        <v>0.07927927927927927</v>
      </c>
      <c r="F30" s="18"/>
      <c r="G30" s="7"/>
      <c r="H30" s="7"/>
      <c r="I30" s="7"/>
      <c r="J30" s="7"/>
      <c r="K30" s="9"/>
    </row>
    <row r="31" spans="1:11" ht="11.25">
      <c r="A31" s="18"/>
      <c r="B31" s="7" t="s">
        <v>30</v>
      </c>
      <c r="C31" s="18">
        <v>100</v>
      </c>
      <c r="D31" s="28">
        <f t="shared" si="0"/>
        <v>0.17985611510791366</v>
      </c>
      <c r="E31" s="29">
        <f t="shared" si="1"/>
        <v>0.18018018018018017</v>
      </c>
      <c r="F31" s="18"/>
      <c r="G31" s="7"/>
      <c r="H31" s="7"/>
      <c r="I31" s="7"/>
      <c r="J31" s="7"/>
      <c r="K31" s="9"/>
    </row>
    <row r="32" spans="1:11" ht="11.25">
      <c r="A32" s="18"/>
      <c r="B32" s="7" t="s">
        <v>31</v>
      </c>
      <c r="C32" s="18">
        <v>78</v>
      </c>
      <c r="D32" s="28">
        <f t="shared" si="0"/>
        <v>0.14028776978417265</v>
      </c>
      <c r="E32" s="29">
        <f t="shared" si="1"/>
        <v>0.14054054054054055</v>
      </c>
      <c r="F32" s="18"/>
      <c r="G32" s="7"/>
      <c r="H32" s="7"/>
      <c r="I32" s="7"/>
      <c r="J32" s="7"/>
      <c r="K32" s="9"/>
    </row>
    <row r="33" spans="1:11" ht="11.25">
      <c r="A33" s="18"/>
      <c r="B33" s="7" t="s">
        <v>32</v>
      </c>
      <c r="C33" s="18">
        <v>35</v>
      </c>
      <c r="D33" s="28">
        <f t="shared" si="0"/>
        <v>0.06294964028776978</v>
      </c>
      <c r="E33" s="29">
        <f t="shared" si="1"/>
        <v>0.06306306306306306</v>
      </c>
      <c r="F33" s="18"/>
      <c r="G33" s="7"/>
      <c r="H33" s="7"/>
      <c r="I33" s="7"/>
      <c r="J33" s="7"/>
      <c r="K33" s="9"/>
    </row>
    <row r="34" spans="1:11" ht="11.25">
      <c r="A34" s="18"/>
      <c r="B34" s="7" t="s">
        <v>33</v>
      </c>
      <c r="C34" s="18">
        <v>6</v>
      </c>
      <c r="D34" s="28">
        <f t="shared" si="0"/>
        <v>0.01079136690647482</v>
      </c>
      <c r="E34" s="29">
        <f t="shared" si="1"/>
        <v>0.010810810810810811</v>
      </c>
      <c r="F34" s="18"/>
      <c r="G34" s="7"/>
      <c r="H34" s="7"/>
      <c r="I34" s="7"/>
      <c r="J34" s="7"/>
      <c r="K34" s="9"/>
    </row>
    <row r="35" spans="1:11" ht="11.25">
      <c r="A35" s="18"/>
      <c r="B35" s="7" t="s">
        <v>34</v>
      </c>
      <c r="C35" s="18">
        <v>27</v>
      </c>
      <c r="D35" s="28">
        <f t="shared" si="0"/>
        <v>0.048561151079136694</v>
      </c>
      <c r="E35" s="29">
        <f t="shared" si="1"/>
        <v>0.04864864864864865</v>
      </c>
      <c r="F35" s="18"/>
      <c r="G35" s="7"/>
      <c r="H35" s="7"/>
      <c r="I35" s="7"/>
      <c r="J35" s="7"/>
      <c r="K35" s="9"/>
    </row>
    <row r="36" spans="1:11" ht="11.25">
      <c r="A36" s="18"/>
      <c r="B36" s="7" t="s">
        <v>24</v>
      </c>
      <c r="C36" s="18">
        <v>29</v>
      </c>
      <c r="D36" s="28">
        <f t="shared" si="0"/>
        <v>0.052158273381294966</v>
      </c>
      <c r="E36" s="29">
        <f t="shared" si="1"/>
        <v>0.05225225225225225</v>
      </c>
      <c r="F36" s="18"/>
      <c r="G36" s="7"/>
      <c r="H36" s="7"/>
      <c r="I36" s="7"/>
      <c r="J36" s="7"/>
      <c r="K36" s="9"/>
    </row>
    <row r="37" spans="1:11" ht="11.25">
      <c r="A37" s="23"/>
      <c r="B37" s="11" t="s">
        <v>18</v>
      </c>
      <c r="C37" s="23">
        <v>1</v>
      </c>
      <c r="D37" s="27">
        <f t="shared" si="0"/>
        <v>0.0017985611510791368</v>
      </c>
      <c r="E37" s="30" t="s">
        <v>19</v>
      </c>
      <c r="F37" s="18"/>
      <c r="G37" s="7"/>
      <c r="H37" s="7"/>
      <c r="I37" s="7"/>
      <c r="J37" s="7"/>
      <c r="K37" s="9"/>
    </row>
    <row r="38" spans="1:11" ht="11.25">
      <c r="A38" s="18" t="s">
        <v>35</v>
      </c>
      <c r="B38" s="7" t="s">
        <v>36</v>
      </c>
      <c r="C38" s="18"/>
      <c r="D38" s="28"/>
      <c r="E38" s="29"/>
      <c r="F38" s="18"/>
      <c r="G38" s="7"/>
      <c r="H38" s="7"/>
      <c r="I38" s="7"/>
      <c r="J38" s="7"/>
      <c r="K38" s="9"/>
    </row>
    <row r="39" spans="1:11" ht="11.25">
      <c r="A39" s="18"/>
      <c r="B39" s="7" t="s">
        <v>37</v>
      </c>
      <c r="C39" s="18">
        <v>159</v>
      </c>
      <c r="D39" s="28">
        <f aca="true" t="shared" si="2" ref="D39:D45">C39/total1</f>
        <v>0.28597122302158273</v>
      </c>
      <c r="E39" s="29">
        <f aca="true" t="shared" si="3" ref="E39:E44">C39/(total1-q4n)</f>
        <v>0.2875226039783002</v>
      </c>
      <c r="F39" s="18"/>
      <c r="G39" s="7"/>
      <c r="H39" s="7"/>
      <c r="I39" s="7"/>
      <c r="J39" s="7"/>
      <c r="K39" s="9"/>
    </row>
    <row r="40" spans="1:11" ht="11.25">
      <c r="A40" s="18"/>
      <c r="B40" s="7" t="s">
        <v>38</v>
      </c>
      <c r="C40" s="18">
        <v>203</v>
      </c>
      <c r="D40" s="28">
        <f t="shared" si="2"/>
        <v>0.36510791366906475</v>
      </c>
      <c r="E40" s="29">
        <f t="shared" si="3"/>
        <v>0.3670886075949367</v>
      </c>
      <c r="F40" s="18"/>
      <c r="G40" s="7"/>
      <c r="H40" s="7"/>
      <c r="I40" s="7"/>
      <c r="J40" s="7"/>
      <c r="K40" s="9"/>
    </row>
    <row r="41" spans="1:11" ht="11.25">
      <c r="A41" s="18"/>
      <c r="B41" s="5" t="s">
        <v>39</v>
      </c>
      <c r="C41" s="18">
        <v>113</v>
      </c>
      <c r="D41" s="28">
        <f t="shared" si="2"/>
        <v>0.20323741007194246</v>
      </c>
      <c r="E41" s="29">
        <f t="shared" si="3"/>
        <v>0.20433996383363473</v>
      </c>
      <c r="F41" s="18"/>
      <c r="G41" s="7"/>
      <c r="H41" s="7"/>
      <c r="I41" s="7"/>
      <c r="J41" s="7"/>
      <c r="K41" s="9"/>
    </row>
    <row r="42" spans="1:11" ht="11.25">
      <c r="A42" s="18"/>
      <c r="B42" s="5" t="s">
        <v>40</v>
      </c>
      <c r="C42" s="18">
        <v>36</v>
      </c>
      <c r="D42" s="28">
        <f t="shared" si="2"/>
        <v>0.06474820143884892</v>
      </c>
      <c r="E42" s="29">
        <f t="shared" si="3"/>
        <v>0.0650994575045208</v>
      </c>
      <c r="F42" s="18"/>
      <c r="G42" s="7"/>
      <c r="H42" s="7"/>
      <c r="I42" s="7"/>
      <c r="J42" s="7"/>
      <c r="K42" s="9"/>
    </row>
    <row r="43" spans="1:11" ht="11.25">
      <c r="A43" s="18"/>
      <c r="B43" s="7" t="s">
        <v>41</v>
      </c>
      <c r="C43" s="18">
        <v>29</v>
      </c>
      <c r="D43" s="28">
        <f t="shared" si="2"/>
        <v>0.052158273381294966</v>
      </c>
      <c r="E43" s="29">
        <f t="shared" si="3"/>
        <v>0.05244122965641953</v>
      </c>
      <c r="F43" s="18"/>
      <c r="G43" s="7"/>
      <c r="H43" s="7"/>
      <c r="I43" s="7"/>
      <c r="J43" s="7"/>
      <c r="K43" s="9"/>
    </row>
    <row r="44" spans="1:11" ht="11.25">
      <c r="A44" s="18"/>
      <c r="B44" s="7" t="s">
        <v>42</v>
      </c>
      <c r="C44" s="18">
        <v>13</v>
      </c>
      <c r="D44" s="28">
        <f t="shared" si="2"/>
        <v>0.023381294964028777</v>
      </c>
      <c r="E44" s="29">
        <f t="shared" si="3"/>
        <v>0.023508137432188065</v>
      </c>
      <c r="F44" s="18"/>
      <c r="G44" s="7"/>
      <c r="H44" s="7"/>
      <c r="I44" s="7"/>
      <c r="J44" s="7"/>
      <c r="K44" s="9"/>
    </row>
    <row r="45" spans="1:11" ht="11.25">
      <c r="A45" s="23"/>
      <c r="B45" s="11" t="s">
        <v>18</v>
      </c>
      <c r="C45" s="23">
        <v>3</v>
      </c>
      <c r="D45" s="27">
        <f t="shared" si="2"/>
        <v>0.00539568345323741</v>
      </c>
      <c r="E45" s="30" t="s">
        <v>19</v>
      </c>
      <c r="F45" s="23"/>
      <c r="G45" s="11"/>
      <c r="H45" s="11"/>
      <c r="I45" s="11"/>
      <c r="J45" s="11"/>
      <c r="K45" s="12"/>
    </row>
    <row r="46" spans="1:11" ht="12.75">
      <c r="A46" s="1" t="s">
        <v>0</v>
      </c>
      <c r="B46" s="2"/>
      <c r="C46" s="3"/>
      <c r="D46" s="35"/>
      <c r="E46" s="36"/>
      <c r="F46" s="2"/>
      <c r="G46" s="2"/>
      <c r="H46" s="2"/>
      <c r="I46" s="2"/>
      <c r="J46" s="2"/>
      <c r="K46" s="4" t="s">
        <v>43</v>
      </c>
    </row>
    <row r="47" spans="1:11" ht="12.75">
      <c r="A47" s="6" t="s">
        <v>2</v>
      </c>
      <c r="B47" s="7"/>
      <c r="C47" s="8"/>
      <c r="D47" s="8"/>
      <c r="E47" s="7"/>
      <c r="F47" s="7"/>
      <c r="G47" s="7"/>
      <c r="H47" s="7"/>
      <c r="I47" s="7"/>
      <c r="J47" s="7"/>
      <c r="K47" s="9"/>
    </row>
    <row r="48" spans="1:11" ht="12.75">
      <c r="A48" s="6" t="s">
        <v>3</v>
      </c>
      <c r="B48" s="7"/>
      <c r="C48" s="8"/>
      <c r="D48" s="8"/>
      <c r="E48" s="7"/>
      <c r="F48" s="7"/>
      <c r="G48" s="7"/>
      <c r="H48" s="7"/>
      <c r="I48" s="7"/>
      <c r="J48" s="7"/>
      <c r="K48" s="9"/>
    </row>
    <row r="49" spans="1:11" ht="12.75">
      <c r="A49" s="10" t="s">
        <v>4</v>
      </c>
      <c r="B49" s="7"/>
      <c r="C49" s="7"/>
      <c r="D49" s="7"/>
      <c r="E49" s="7"/>
      <c r="F49" s="11"/>
      <c r="G49" s="11"/>
      <c r="H49" s="11"/>
      <c r="I49" s="11"/>
      <c r="J49" s="11"/>
      <c r="K49" s="12"/>
    </row>
    <row r="50" spans="1:11" ht="11.25">
      <c r="A50" s="13"/>
      <c r="B50" s="14"/>
      <c r="C50" s="15"/>
      <c r="D50" s="16" t="s">
        <v>5</v>
      </c>
      <c r="E50" s="17" t="s">
        <v>5</v>
      </c>
      <c r="F50" s="18"/>
      <c r="G50" s="7"/>
      <c r="H50" s="7"/>
      <c r="I50" s="7"/>
      <c r="J50" s="7"/>
      <c r="K50" s="9"/>
    </row>
    <row r="51" spans="1:11" ht="12.75">
      <c r="A51" s="19" t="s">
        <v>44</v>
      </c>
      <c r="B51" s="9"/>
      <c r="C51" s="20"/>
      <c r="D51" s="21" t="s">
        <v>7</v>
      </c>
      <c r="E51" s="22" t="s">
        <v>8</v>
      </c>
      <c r="F51" s="18"/>
      <c r="G51" s="7"/>
      <c r="H51" s="7"/>
      <c r="I51" s="7"/>
      <c r="J51" s="7"/>
      <c r="K51" s="9"/>
    </row>
    <row r="52" spans="1:11" ht="11.25">
      <c r="A52" s="23"/>
      <c r="B52" s="12"/>
      <c r="C52" s="24" t="s">
        <v>9</v>
      </c>
      <c r="D52" s="25" t="s">
        <v>10</v>
      </c>
      <c r="E52" s="26" t="s">
        <v>10</v>
      </c>
      <c r="F52" s="18"/>
      <c r="G52" s="7"/>
      <c r="H52" s="7"/>
      <c r="I52" s="7"/>
      <c r="J52" s="7"/>
      <c r="K52" s="9"/>
    </row>
    <row r="53" spans="1:11" ht="11.25">
      <c r="A53" s="18" t="s">
        <v>45</v>
      </c>
      <c r="B53" s="7" t="s">
        <v>46</v>
      </c>
      <c r="C53" s="18"/>
      <c r="D53" s="28"/>
      <c r="E53" s="29"/>
      <c r="F53" s="18"/>
      <c r="G53" s="7"/>
      <c r="H53" s="7"/>
      <c r="I53" s="7"/>
      <c r="J53" s="7"/>
      <c r="K53" s="9"/>
    </row>
    <row r="54" spans="1:11" ht="11.25">
      <c r="A54" s="18"/>
      <c r="B54" s="37" t="s">
        <v>47</v>
      </c>
      <c r="C54" s="18">
        <v>251</v>
      </c>
      <c r="D54" s="28">
        <f aca="true" t="shared" si="4" ref="D54:D59">C54/total1</f>
        <v>0.45143884892086333</v>
      </c>
      <c r="E54" s="29">
        <f>C54/(total1-q5n)</f>
        <v>0.45471014492753625</v>
      </c>
      <c r="F54" s="18"/>
      <c r="G54" s="7"/>
      <c r="H54" s="7"/>
      <c r="I54" s="7"/>
      <c r="J54" s="7"/>
      <c r="K54" s="9"/>
    </row>
    <row r="55" spans="1:11" ht="11.25">
      <c r="A55" s="18"/>
      <c r="B55" s="7" t="s">
        <v>48</v>
      </c>
      <c r="C55" s="18">
        <v>167</v>
      </c>
      <c r="D55" s="28">
        <f t="shared" si="4"/>
        <v>0.30035971223021585</v>
      </c>
      <c r="E55" s="29">
        <f>C55/(total1-q5n)</f>
        <v>0.302536231884058</v>
      </c>
      <c r="F55" s="18"/>
      <c r="G55" s="7"/>
      <c r="H55" s="7"/>
      <c r="I55" s="7"/>
      <c r="J55" s="7"/>
      <c r="K55" s="9"/>
    </row>
    <row r="56" spans="1:11" ht="11.25">
      <c r="A56" s="18"/>
      <c r="B56" s="7" t="s">
        <v>49</v>
      </c>
      <c r="C56" s="18">
        <v>4</v>
      </c>
      <c r="D56" s="28">
        <f t="shared" si="4"/>
        <v>0.007194244604316547</v>
      </c>
      <c r="E56" s="29">
        <f>C56/(total1-q5n)</f>
        <v>0.007246376811594203</v>
      </c>
      <c r="F56" s="18"/>
      <c r="G56" s="7"/>
      <c r="H56" s="7"/>
      <c r="I56" s="7"/>
      <c r="J56" s="7"/>
      <c r="K56" s="9"/>
    </row>
    <row r="57" spans="1:11" ht="11.25">
      <c r="A57" s="18"/>
      <c r="B57" s="7" t="s">
        <v>50</v>
      </c>
      <c r="C57" s="18">
        <v>52</v>
      </c>
      <c r="D57" s="28">
        <f t="shared" si="4"/>
        <v>0.09352517985611511</v>
      </c>
      <c r="E57" s="29">
        <f>C57/(total1-q5n)</f>
        <v>0.09420289855072464</v>
      </c>
      <c r="F57" s="18"/>
      <c r="G57" s="7"/>
      <c r="H57" s="7"/>
      <c r="I57" s="7"/>
      <c r="J57" s="7"/>
      <c r="K57" s="9"/>
    </row>
    <row r="58" spans="1:11" ht="11.25">
      <c r="A58" s="18" t="s">
        <v>20</v>
      </c>
      <c r="B58" s="38" t="s">
        <v>51</v>
      </c>
      <c r="C58" s="39">
        <v>78</v>
      </c>
      <c r="D58" s="28">
        <f t="shared" si="4"/>
        <v>0.14028776978417265</v>
      </c>
      <c r="E58" s="29">
        <f>C58/(total1-q5n)</f>
        <v>0.14130434782608695</v>
      </c>
      <c r="F58" s="18"/>
      <c r="G58" s="7"/>
      <c r="H58" s="7"/>
      <c r="I58" s="7"/>
      <c r="J58" s="7"/>
      <c r="K58" s="9"/>
    </row>
    <row r="59" spans="1:11" ht="11.25">
      <c r="A59" s="23"/>
      <c r="B59" s="40" t="s">
        <v>18</v>
      </c>
      <c r="C59" s="23">
        <v>4</v>
      </c>
      <c r="D59" s="27">
        <f t="shared" si="4"/>
        <v>0.007194244604316547</v>
      </c>
      <c r="E59" s="41" t="s">
        <v>19</v>
      </c>
      <c r="F59" s="18"/>
      <c r="G59" s="7"/>
      <c r="H59" s="7"/>
      <c r="I59" s="7"/>
      <c r="J59" s="7"/>
      <c r="K59" s="9"/>
    </row>
    <row r="60" spans="1:11" ht="11.25">
      <c r="A60" s="13" t="str">
        <f>"6."</f>
        <v>6.</v>
      </c>
      <c r="B60" s="42" t="s">
        <v>52</v>
      </c>
      <c r="C60" s="13"/>
      <c r="D60" s="36"/>
      <c r="E60" s="43"/>
      <c r="F60" s="18"/>
      <c r="G60" s="7"/>
      <c r="H60" s="7"/>
      <c r="I60" s="7"/>
      <c r="J60" s="7"/>
      <c r="K60" s="9"/>
    </row>
    <row r="61" spans="1:11" ht="11.25">
      <c r="A61" s="18"/>
      <c r="B61" s="44" t="s">
        <v>53</v>
      </c>
      <c r="C61" s="18">
        <v>154</v>
      </c>
      <c r="D61" s="28">
        <f aca="true" t="shared" si="5" ref="D61:D69">C61/total1</f>
        <v>0.27697841726618705</v>
      </c>
      <c r="E61" s="29">
        <f aca="true" t="shared" si="6" ref="E61:E68">C61/(total1-q6n)</f>
        <v>0.27898550724637683</v>
      </c>
      <c r="F61" s="18"/>
      <c r="G61" s="7"/>
      <c r="H61" s="7"/>
      <c r="I61" s="7"/>
      <c r="J61" s="7"/>
      <c r="K61" s="9"/>
    </row>
    <row r="62" spans="1:11" ht="11.25">
      <c r="A62" s="18"/>
      <c r="B62" s="44" t="s">
        <v>54</v>
      </c>
      <c r="C62" s="18">
        <v>122</v>
      </c>
      <c r="D62" s="28">
        <f t="shared" si="5"/>
        <v>0.21942446043165467</v>
      </c>
      <c r="E62" s="29">
        <f t="shared" si="6"/>
        <v>0.2210144927536232</v>
      </c>
      <c r="F62" s="18"/>
      <c r="G62" s="7"/>
      <c r="H62" s="7"/>
      <c r="I62" s="7"/>
      <c r="J62" s="7"/>
      <c r="K62" s="9"/>
    </row>
    <row r="63" spans="1:11" ht="11.25">
      <c r="A63" s="18"/>
      <c r="B63" s="45" t="s">
        <v>209</v>
      </c>
      <c r="C63" s="7">
        <v>4</v>
      </c>
      <c r="D63" s="28">
        <f t="shared" si="5"/>
        <v>0.007194244604316547</v>
      </c>
      <c r="E63" s="29">
        <f t="shared" si="6"/>
        <v>0.007246376811594203</v>
      </c>
      <c r="F63" s="18"/>
      <c r="G63" s="7"/>
      <c r="H63" s="7"/>
      <c r="I63" s="7"/>
      <c r="J63" s="7"/>
      <c r="K63" s="9"/>
    </row>
    <row r="64" spans="1:11" ht="11.25">
      <c r="A64" s="18"/>
      <c r="B64" s="45" t="s">
        <v>55</v>
      </c>
      <c r="C64" s="5">
        <v>40</v>
      </c>
      <c r="D64" s="28">
        <f t="shared" si="5"/>
        <v>0.07194244604316546</v>
      </c>
      <c r="E64" s="29">
        <f t="shared" si="6"/>
        <v>0.07246376811594203</v>
      </c>
      <c r="F64" s="18"/>
      <c r="G64" s="7"/>
      <c r="H64" s="7"/>
      <c r="I64" s="7"/>
      <c r="J64" s="7"/>
      <c r="K64" s="9"/>
    </row>
    <row r="65" spans="1:11" ht="11.25">
      <c r="A65" s="39"/>
      <c r="B65" s="44" t="s">
        <v>56</v>
      </c>
      <c r="C65" s="39">
        <v>84</v>
      </c>
      <c r="D65" s="28">
        <f t="shared" si="5"/>
        <v>0.1510791366906475</v>
      </c>
      <c r="E65" s="29">
        <f t="shared" si="6"/>
        <v>0.15217391304347827</v>
      </c>
      <c r="F65" s="18"/>
      <c r="G65" s="7"/>
      <c r="H65" s="7"/>
      <c r="I65" s="7"/>
      <c r="J65" s="7"/>
      <c r="K65" s="9"/>
    </row>
    <row r="66" spans="1:11" ht="11.25">
      <c r="A66" s="39"/>
      <c r="B66" s="44" t="s">
        <v>57</v>
      </c>
      <c r="C66" s="39">
        <v>82</v>
      </c>
      <c r="D66" s="28">
        <f t="shared" si="5"/>
        <v>0.1474820143884892</v>
      </c>
      <c r="E66" s="29">
        <f t="shared" si="6"/>
        <v>0.14855072463768115</v>
      </c>
      <c r="F66" s="18"/>
      <c r="G66" s="7"/>
      <c r="H66" s="7"/>
      <c r="I66" s="7"/>
      <c r="J66" s="7"/>
      <c r="K66" s="9"/>
    </row>
    <row r="67" spans="1:11" ht="11.25">
      <c r="A67" s="39"/>
      <c r="B67" s="44" t="s">
        <v>58</v>
      </c>
      <c r="C67" s="39">
        <v>44</v>
      </c>
      <c r="D67" s="28">
        <f t="shared" si="5"/>
        <v>0.07913669064748201</v>
      </c>
      <c r="E67" s="29">
        <f t="shared" si="6"/>
        <v>0.07971014492753623</v>
      </c>
      <c r="F67" s="18"/>
      <c r="G67" s="7"/>
      <c r="H67" s="7"/>
      <c r="I67" s="7"/>
      <c r="J67" s="7"/>
      <c r="K67" s="9"/>
    </row>
    <row r="68" spans="1:11" ht="11.25">
      <c r="A68" s="39"/>
      <c r="B68" s="44" t="s">
        <v>59</v>
      </c>
      <c r="C68" s="39">
        <v>22</v>
      </c>
      <c r="D68" s="28">
        <f t="shared" si="5"/>
        <v>0.039568345323741004</v>
      </c>
      <c r="E68" s="29">
        <f t="shared" si="6"/>
        <v>0.03985507246376811</v>
      </c>
      <c r="F68" s="18"/>
      <c r="G68" s="7"/>
      <c r="H68" s="7"/>
      <c r="I68" s="7"/>
      <c r="J68" s="7"/>
      <c r="K68" s="9"/>
    </row>
    <row r="69" spans="1:11" ht="11.25">
      <c r="A69" s="46"/>
      <c r="B69" s="47" t="s">
        <v>18</v>
      </c>
      <c r="C69" s="23">
        <v>4</v>
      </c>
      <c r="D69" s="27">
        <f t="shared" si="5"/>
        <v>0.007194244604316547</v>
      </c>
      <c r="E69" s="48" t="s">
        <v>19</v>
      </c>
      <c r="F69" s="18"/>
      <c r="G69" s="7"/>
      <c r="H69" s="7"/>
      <c r="I69" s="7"/>
      <c r="J69" s="7"/>
      <c r="K69" s="9"/>
    </row>
    <row r="70" spans="1:11" ht="11.25">
      <c r="A70" s="18" t="str">
        <f>"7."</f>
        <v>7.</v>
      </c>
      <c r="B70" s="44" t="s">
        <v>60</v>
      </c>
      <c r="C70" s="18"/>
      <c r="D70" s="49"/>
      <c r="E70" s="50"/>
      <c r="F70" s="18"/>
      <c r="G70" s="7"/>
      <c r="H70" s="7"/>
      <c r="I70" s="7"/>
      <c r="J70" s="7"/>
      <c r="K70" s="9"/>
    </row>
    <row r="71" spans="1:11" ht="11.25">
      <c r="A71" s="18"/>
      <c r="B71" s="44" t="s">
        <v>61</v>
      </c>
      <c r="C71" s="51" t="s">
        <v>62</v>
      </c>
      <c r="D71" s="7"/>
      <c r="E71" s="9"/>
      <c r="F71" s="18"/>
      <c r="G71" s="7"/>
      <c r="H71" s="7"/>
      <c r="I71" s="7"/>
      <c r="J71" s="7"/>
      <c r="K71" s="9"/>
    </row>
    <row r="72" spans="1:11" ht="11.25">
      <c r="A72" s="18"/>
      <c r="B72" s="44" t="s">
        <v>63</v>
      </c>
      <c r="C72" s="18">
        <v>25</v>
      </c>
      <c r="D72" s="28">
        <f>C72/C10</f>
        <v>0.056179775280898875</v>
      </c>
      <c r="E72" s="29">
        <f>C72/(C10-q7an)</f>
        <v>0.06053268765133172</v>
      </c>
      <c r="F72" s="52"/>
      <c r="G72" s="7"/>
      <c r="H72" s="7"/>
      <c r="I72" s="7"/>
      <c r="J72" s="7"/>
      <c r="K72" s="9"/>
    </row>
    <row r="73" spans="1:11" ht="11.25">
      <c r="A73" s="18"/>
      <c r="B73" s="44" t="s">
        <v>64</v>
      </c>
      <c r="C73" s="18">
        <v>28</v>
      </c>
      <c r="D73" s="28">
        <f>C73/C10</f>
        <v>0.06292134831460675</v>
      </c>
      <c r="E73" s="29">
        <f>C73/(C10-q7an)</f>
        <v>0.06779661016949153</v>
      </c>
      <c r="F73" s="18"/>
      <c r="G73" s="7"/>
      <c r="H73" s="7"/>
      <c r="I73" s="7"/>
      <c r="J73" s="7"/>
      <c r="K73" s="9"/>
    </row>
    <row r="74" spans="1:11" ht="11.25">
      <c r="A74" s="18"/>
      <c r="B74" s="44" t="s">
        <v>65</v>
      </c>
      <c r="C74" s="18">
        <v>70</v>
      </c>
      <c r="D74" s="28">
        <f>C74/C10</f>
        <v>0.15730337078651685</v>
      </c>
      <c r="E74" s="29">
        <f>C74/(C10-q7an)</f>
        <v>0.1694915254237288</v>
      </c>
      <c r="F74" s="18"/>
      <c r="G74" s="7"/>
      <c r="H74" s="7"/>
      <c r="I74" s="7"/>
      <c r="J74" s="7"/>
      <c r="K74" s="9"/>
    </row>
    <row r="75" spans="1:11" ht="11.25">
      <c r="A75" s="18"/>
      <c r="B75" s="44" t="s">
        <v>66</v>
      </c>
      <c r="C75" s="18">
        <v>82</v>
      </c>
      <c r="D75" s="28">
        <f>C75/C10</f>
        <v>0.1842696629213483</v>
      </c>
      <c r="E75" s="29">
        <f>C75/(C10-q7an)</f>
        <v>0.19854721549636803</v>
      </c>
      <c r="F75" s="18"/>
      <c r="G75" s="7"/>
      <c r="H75" s="7"/>
      <c r="I75" s="7"/>
      <c r="J75" s="7"/>
      <c r="K75" s="9"/>
    </row>
    <row r="76" spans="1:11" ht="11.25">
      <c r="A76" s="18"/>
      <c r="B76" s="44" t="s">
        <v>67</v>
      </c>
      <c r="C76" s="18">
        <v>87</v>
      </c>
      <c r="D76" s="28">
        <f>C76/C10</f>
        <v>0.19550561797752808</v>
      </c>
      <c r="E76" s="29">
        <f>C76/(C10-q7an)</f>
        <v>0.2106537530266344</v>
      </c>
      <c r="F76" s="18"/>
      <c r="G76" s="7"/>
      <c r="H76" s="7"/>
      <c r="I76" s="7"/>
      <c r="J76" s="7"/>
      <c r="K76" s="9"/>
    </row>
    <row r="77" spans="1:11" ht="11.25">
      <c r="A77" s="18"/>
      <c r="B77" s="44" t="s">
        <v>68</v>
      </c>
      <c r="C77" s="18">
        <v>42</v>
      </c>
      <c r="D77" s="28">
        <f>C77/C10</f>
        <v>0.09438202247191012</v>
      </c>
      <c r="E77" s="29">
        <f>C77/(C10-q7an)</f>
        <v>0.1016949152542373</v>
      </c>
      <c r="F77" s="18"/>
      <c r="G77" s="7"/>
      <c r="H77" s="7"/>
      <c r="I77" s="7"/>
      <c r="J77" s="7"/>
      <c r="K77" s="9"/>
    </row>
    <row r="78" spans="1:11" ht="11.25">
      <c r="A78" s="18"/>
      <c r="B78" s="44" t="s">
        <v>69</v>
      </c>
      <c r="C78" s="18">
        <f>29+19+31</f>
        <v>79</v>
      </c>
      <c r="D78" s="28">
        <f>C78/C10</f>
        <v>0.17752808988764046</v>
      </c>
      <c r="E78" s="29">
        <f>C78/(C10-q7an)</f>
        <v>0.19128329297820823</v>
      </c>
      <c r="F78" s="18"/>
      <c r="G78" s="7"/>
      <c r="H78" s="7"/>
      <c r="I78" s="7"/>
      <c r="J78" s="7"/>
      <c r="K78" s="9"/>
    </row>
    <row r="79" spans="1:11" ht="11.25">
      <c r="A79" s="18"/>
      <c r="B79" s="44" t="s">
        <v>70</v>
      </c>
      <c r="C79" s="18">
        <v>32</v>
      </c>
      <c r="D79" s="28">
        <f>C79/C10</f>
        <v>0.07191011235955057</v>
      </c>
      <c r="E79" s="31" t="s">
        <v>19</v>
      </c>
      <c r="F79" s="18"/>
      <c r="G79" s="7"/>
      <c r="H79" s="7"/>
      <c r="I79" s="7"/>
      <c r="J79" s="7"/>
      <c r="K79" s="9"/>
    </row>
    <row r="80" spans="1:11" ht="11.25">
      <c r="A80" s="18"/>
      <c r="B80" s="44"/>
      <c r="C80" s="18"/>
      <c r="D80" s="49"/>
      <c r="E80" s="50"/>
      <c r="F80" s="18"/>
      <c r="G80" s="7"/>
      <c r="H80" s="7"/>
      <c r="I80" s="7"/>
      <c r="J80" s="7"/>
      <c r="K80" s="9"/>
    </row>
    <row r="81" spans="1:11" ht="11.25">
      <c r="A81" s="18"/>
      <c r="B81" s="44" t="s">
        <v>71</v>
      </c>
      <c r="C81" s="51" t="s">
        <v>72</v>
      </c>
      <c r="D81" s="49"/>
      <c r="E81" s="9"/>
      <c r="F81" s="18"/>
      <c r="G81" s="7"/>
      <c r="H81" s="7"/>
      <c r="I81" s="7"/>
      <c r="J81" s="7"/>
      <c r="K81" s="9"/>
    </row>
    <row r="82" spans="1:11" ht="11.25">
      <c r="A82" s="18"/>
      <c r="B82" s="44" t="s">
        <v>73</v>
      </c>
      <c r="C82" s="18">
        <v>14</v>
      </c>
      <c r="D82" s="28">
        <f>C82/C11</f>
        <v>0.12612612612612611</v>
      </c>
      <c r="E82" s="29">
        <f>C82/(C11-q7bn)</f>
        <v>0.1590909090909091</v>
      </c>
      <c r="F82" s="18"/>
      <c r="G82" s="7"/>
      <c r="H82" s="7"/>
      <c r="I82" s="7"/>
      <c r="J82" s="7"/>
      <c r="K82" s="9"/>
    </row>
    <row r="83" spans="1:11" ht="11.25">
      <c r="A83" s="18"/>
      <c r="B83" s="44" t="s">
        <v>74</v>
      </c>
      <c r="C83" s="18">
        <v>26</v>
      </c>
      <c r="D83" s="28">
        <f>C83/C11</f>
        <v>0.23423423423423423</v>
      </c>
      <c r="E83" s="29">
        <f>C83/(C11-q7bn)</f>
        <v>0.29545454545454547</v>
      </c>
      <c r="F83" s="18"/>
      <c r="G83" s="7"/>
      <c r="H83" s="7"/>
      <c r="I83" s="7"/>
      <c r="J83" s="7"/>
      <c r="K83" s="9"/>
    </row>
    <row r="84" spans="1:11" ht="11.25">
      <c r="A84" s="18"/>
      <c r="B84" s="44" t="s">
        <v>75</v>
      </c>
      <c r="C84" s="18">
        <v>16</v>
      </c>
      <c r="D84" s="28">
        <f>C84/C11</f>
        <v>0.14414414414414414</v>
      </c>
      <c r="E84" s="29">
        <f>C84/(C11-q7bn)</f>
        <v>0.18181818181818182</v>
      </c>
      <c r="F84" s="18"/>
      <c r="G84" s="7"/>
      <c r="H84" s="7"/>
      <c r="I84" s="7"/>
      <c r="J84" s="7"/>
      <c r="K84" s="9"/>
    </row>
    <row r="85" spans="1:11" ht="11.25">
      <c r="A85" s="18"/>
      <c r="B85" s="44" t="s">
        <v>76</v>
      </c>
      <c r="C85" s="18">
        <v>18</v>
      </c>
      <c r="D85" s="28">
        <f>C85/C11</f>
        <v>0.16216216216216217</v>
      </c>
      <c r="E85" s="29">
        <f>C85/(C11-q7bn)</f>
        <v>0.20454545454545456</v>
      </c>
      <c r="F85" s="18"/>
      <c r="G85" s="7"/>
      <c r="H85" s="7"/>
      <c r="I85" s="7"/>
      <c r="J85" s="7"/>
      <c r="K85" s="9"/>
    </row>
    <row r="86" spans="1:11" ht="11.25">
      <c r="A86" s="18"/>
      <c r="B86" s="44" t="s">
        <v>77</v>
      </c>
      <c r="C86" s="18">
        <f>6+2+2+3+1</f>
        <v>14</v>
      </c>
      <c r="D86" s="28">
        <f>C86/C11</f>
        <v>0.12612612612612611</v>
      </c>
      <c r="E86" s="29">
        <f>C86/(C11-q7bn)</f>
        <v>0.1590909090909091</v>
      </c>
      <c r="F86" s="18"/>
      <c r="G86" s="7"/>
      <c r="H86" s="7"/>
      <c r="I86" s="7"/>
      <c r="J86" s="7"/>
      <c r="K86" s="9"/>
    </row>
    <row r="87" spans="1:11" ht="11.25">
      <c r="A87" s="23"/>
      <c r="B87" s="47" t="s">
        <v>70</v>
      </c>
      <c r="C87" s="23">
        <v>23</v>
      </c>
      <c r="D87" s="27">
        <f>C87/C11</f>
        <v>0.2072072072072072</v>
      </c>
      <c r="E87" s="30" t="s">
        <v>19</v>
      </c>
      <c r="F87" s="18"/>
      <c r="G87" s="7"/>
      <c r="H87" s="7"/>
      <c r="I87" s="7"/>
      <c r="J87" s="7"/>
      <c r="K87" s="9"/>
    </row>
    <row r="88" spans="1:11" ht="11.25">
      <c r="A88" s="13"/>
      <c r="B88" s="2"/>
      <c r="C88" s="2"/>
      <c r="D88" s="36"/>
      <c r="E88" s="43"/>
      <c r="F88" s="18"/>
      <c r="G88" s="7"/>
      <c r="H88" s="7"/>
      <c r="I88" s="7"/>
      <c r="J88" s="7"/>
      <c r="K88" s="9"/>
    </row>
    <row r="89" spans="1:11" ht="11.25">
      <c r="A89" s="18" t="s">
        <v>78</v>
      </c>
      <c r="B89" s="7"/>
      <c r="C89" s="7"/>
      <c r="D89" s="7"/>
      <c r="E89" s="9"/>
      <c r="F89" s="18"/>
      <c r="G89" s="7"/>
      <c r="H89" s="7"/>
      <c r="I89" s="7"/>
      <c r="J89" s="7"/>
      <c r="K89" s="9"/>
    </row>
    <row r="90" spans="1:11" ht="11.25">
      <c r="A90" s="18"/>
      <c r="B90" s="7"/>
      <c r="C90" s="7"/>
      <c r="D90" s="7"/>
      <c r="E90" s="9"/>
      <c r="F90" s="18"/>
      <c r="G90" s="7"/>
      <c r="H90" s="7"/>
      <c r="I90" s="7"/>
      <c r="J90" s="7"/>
      <c r="K90" s="9"/>
    </row>
    <row r="91" spans="1:11" ht="11.25">
      <c r="A91" s="18"/>
      <c r="B91" s="7"/>
      <c r="C91" s="7"/>
      <c r="D91" s="7"/>
      <c r="E91" s="9"/>
      <c r="F91" s="18"/>
      <c r="G91" s="7"/>
      <c r="H91" s="7"/>
      <c r="I91" s="7"/>
      <c r="J91" s="7"/>
      <c r="K91" s="9"/>
    </row>
    <row r="92" spans="1:11" ht="11.25">
      <c r="A92" s="18"/>
      <c r="B92" s="44"/>
      <c r="C92" s="7"/>
      <c r="D92" s="28"/>
      <c r="E92" s="31"/>
      <c r="F92" s="18"/>
      <c r="G92" s="7"/>
      <c r="H92" s="7"/>
      <c r="I92" s="7"/>
      <c r="J92" s="7"/>
      <c r="K92" s="9"/>
    </row>
    <row r="93" spans="1:11" ht="11.25">
      <c r="A93" s="18"/>
      <c r="B93" s="44"/>
      <c r="C93" s="7"/>
      <c r="D93" s="28"/>
      <c r="E93" s="31"/>
      <c r="F93" s="18"/>
      <c r="G93" s="7"/>
      <c r="H93" s="7"/>
      <c r="I93" s="7"/>
      <c r="J93" s="7"/>
      <c r="K93" s="9"/>
    </row>
    <row r="94" spans="1:11" ht="14.25" customHeight="1">
      <c r="A94" s="23"/>
      <c r="B94" s="47"/>
      <c r="C94" s="11"/>
      <c r="D94" s="27"/>
      <c r="E94" s="30"/>
      <c r="F94" s="23"/>
      <c r="G94" s="11"/>
      <c r="H94" s="11"/>
      <c r="I94" s="11"/>
      <c r="J94" s="11"/>
      <c r="K94" s="12"/>
    </row>
    <row r="95" spans="1:11" ht="12.75">
      <c r="A95" s="1" t="s">
        <v>0</v>
      </c>
      <c r="B95" s="2"/>
      <c r="C95" s="3"/>
      <c r="D95" s="35"/>
      <c r="E95" s="36"/>
      <c r="F95" s="2"/>
      <c r="G95" s="2"/>
      <c r="H95" s="2"/>
      <c r="I95" s="2"/>
      <c r="J95" s="2"/>
      <c r="K95" s="4" t="s">
        <v>79</v>
      </c>
    </row>
    <row r="96" spans="1:11" ht="12.75">
      <c r="A96" s="6" t="s">
        <v>2</v>
      </c>
      <c r="B96" s="7"/>
      <c r="C96" s="8"/>
      <c r="D96" s="8"/>
      <c r="E96" s="7"/>
      <c r="I96" s="7"/>
      <c r="J96" s="7"/>
      <c r="K96" s="9"/>
    </row>
    <row r="97" spans="1:11" ht="12.75">
      <c r="A97" s="6" t="s">
        <v>3</v>
      </c>
      <c r="B97" s="7"/>
      <c r="C97" s="8"/>
      <c r="D97" s="8"/>
      <c r="E97" s="7"/>
      <c r="I97" s="7"/>
      <c r="J97" s="7"/>
      <c r="K97" s="9"/>
    </row>
    <row r="98" spans="1:11" ht="12.75">
      <c r="A98" s="10" t="s">
        <v>4</v>
      </c>
      <c r="B98" s="7"/>
      <c r="C98" s="7"/>
      <c r="D98" s="7"/>
      <c r="E98" s="7"/>
      <c r="F98" s="11"/>
      <c r="G98" s="11"/>
      <c r="H98" s="11"/>
      <c r="I98" s="11"/>
      <c r="J98" s="11"/>
      <c r="K98" s="12"/>
    </row>
    <row r="99" spans="1:11" ht="10.5" customHeight="1">
      <c r="A99" s="13"/>
      <c r="B99" s="14"/>
      <c r="C99" s="15"/>
      <c r="D99" s="16" t="s">
        <v>5</v>
      </c>
      <c r="E99" s="17" t="s">
        <v>5</v>
      </c>
      <c r="I99" s="7"/>
      <c r="J99" s="7"/>
      <c r="K99" s="9"/>
    </row>
    <row r="100" spans="1:11" ht="10.5" customHeight="1">
      <c r="A100" s="19" t="s">
        <v>44</v>
      </c>
      <c r="B100" s="9"/>
      <c r="C100" s="20"/>
      <c r="D100" s="21" t="s">
        <v>7</v>
      </c>
      <c r="E100" s="22" t="s">
        <v>8</v>
      </c>
      <c r="I100" s="7"/>
      <c r="J100" s="7"/>
      <c r="K100" s="9"/>
    </row>
    <row r="101" spans="1:11" ht="10.5" customHeight="1">
      <c r="A101" s="23"/>
      <c r="B101" s="12"/>
      <c r="C101" s="24" t="s">
        <v>9</v>
      </c>
      <c r="D101" s="25" t="s">
        <v>10</v>
      </c>
      <c r="E101" s="26" t="s">
        <v>10</v>
      </c>
      <c r="I101" s="7"/>
      <c r="J101" s="7"/>
      <c r="K101" s="9"/>
    </row>
    <row r="102" spans="1:11" ht="11.25">
      <c r="A102" s="53" t="s">
        <v>80</v>
      </c>
      <c r="B102" s="54" t="s">
        <v>81</v>
      </c>
      <c r="C102" s="13"/>
      <c r="D102" s="28"/>
      <c r="E102" s="29"/>
      <c r="I102" s="7"/>
      <c r="J102" s="7"/>
      <c r="K102" s="9"/>
    </row>
    <row r="103" spans="1:11" ht="11.25">
      <c r="A103" s="18"/>
      <c r="B103" s="45" t="s">
        <v>82</v>
      </c>
      <c r="C103" s="18">
        <v>82</v>
      </c>
      <c r="D103" s="28">
        <f aca="true" t="shared" si="7" ref="D103:D109">C103/total1</f>
        <v>0.1474820143884892</v>
      </c>
      <c r="E103" s="29">
        <f aca="true" t="shared" si="8" ref="E103:E108">C103/(total1-q9n)</f>
        <v>0.14990859232175502</v>
      </c>
      <c r="I103" s="7"/>
      <c r="J103" s="7"/>
      <c r="K103" s="9"/>
    </row>
    <row r="104" spans="1:11" ht="11.25">
      <c r="A104" s="18"/>
      <c r="B104" s="45" t="s">
        <v>83</v>
      </c>
      <c r="C104" s="18">
        <v>174</v>
      </c>
      <c r="D104" s="28">
        <f t="shared" si="7"/>
        <v>0.3129496402877698</v>
      </c>
      <c r="E104" s="29">
        <f t="shared" si="8"/>
        <v>0.3180987202925046</v>
      </c>
      <c r="I104" s="7"/>
      <c r="J104" s="7"/>
      <c r="K104" s="9"/>
    </row>
    <row r="105" spans="1:11" ht="11.25">
      <c r="A105" s="18"/>
      <c r="B105" s="45" t="s">
        <v>84</v>
      </c>
      <c r="C105" s="18">
        <v>223</v>
      </c>
      <c r="D105" s="28">
        <f t="shared" si="7"/>
        <v>0.4010791366906475</v>
      </c>
      <c r="E105" s="29">
        <f t="shared" si="8"/>
        <v>0.4076782449725777</v>
      </c>
      <c r="I105" s="7"/>
      <c r="J105" s="7"/>
      <c r="K105" s="9"/>
    </row>
    <row r="106" spans="1:11" ht="11.25">
      <c r="A106" s="18"/>
      <c r="B106" s="45" t="s">
        <v>85</v>
      </c>
      <c r="C106" s="18">
        <v>34</v>
      </c>
      <c r="D106" s="28">
        <f t="shared" si="7"/>
        <v>0.06115107913669065</v>
      </c>
      <c r="E106" s="29">
        <f t="shared" si="8"/>
        <v>0.062157221206581355</v>
      </c>
      <c r="I106" s="7"/>
      <c r="J106" s="7"/>
      <c r="K106" s="9"/>
    </row>
    <row r="107" spans="1:11" ht="11.25">
      <c r="A107" s="18"/>
      <c r="B107" s="45" t="s">
        <v>86</v>
      </c>
      <c r="C107" s="18">
        <v>15</v>
      </c>
      <c r="D107" s="28">
        <f t="shared" si="7"/>
        <v>0.02697841726618705</v>
      </c>
      <c r="E107" s="29">
        <f t="shared" si="8"/>
        <v>0.027422303473491772</v>
      </c>
      <c r="I107" s="7"/>
      <c r="J107" s="7"/>
      <c r="K107" s="9"/>
    </row>
    <row r="108" spans="1:11" ht="11.25">
      <c r="A108" s="18"/>
      <c r="B108" s="45" t="s">
        <v>87</v>
      </c>
      <c r="C108" s="18">
        <v>19</v>
      </c>
      <c r="D108" s="28">
        <f t="shared" si="7"/>
        <v>0.0341726618705036</v>
      </c>
      <c r="E108" s="29">
        <f t="shared" si="8"/>
        <v>0.03473491773308958</v>
      </c>
      <c r="I108" s="7"/>
      <c r="J108" s="7"/>
      <c r="K108" s="9"/>
    </row>
    <row r="109" spans="1:11" ht="11.25">
      <c r="A109" s="23"/>
      <c r="B109" s="55" t="s">
        <v>18</v>
      </c>
      <c r="C109" s="23">
        <v>9</v>
      </c>
      <c r="D109" s="27">
        <f t="shared" si="7"/>
        <v>0.01618705035971223</v>
      </c>
      <c r="E109" s="30" t="s">
        <v>19</v>
      </c>
      <c r="I109" s="7"/>
      <c r="J109" s="7"/>
      <c r="K109" s="9"/>
    </row>
    <row r="110" spans="1:11" ht="11.25">
      <c r="A110" s="18" t="str">
        <f>"9a."</f>
        <v>9a.</v>
      </c>
      <c r="B110" s="44" t="s">
        <v>88</v>
      </c>
      <c r="C110" s="18"/>
      <c r="D110" s="28"/>
      <c r="E110" s="31"/>
      <c r="I110" s="7"/>
      <c r="J110" s="7"/>
      <c r="K110" s="9"/>
    </row>
    <row r="111" spans="1:11" ht="10.5" customHeight="1">
      <c r="A111" s="18"/>
      <c r="B111" s="44" t="s">
        <v>89</v>
      </c>
      <c r="C111" s="18">
        <v>41</v>
      </c>
      <c r="D111" s="28">
        <f aca="true" t="shared" si="9" ref="D111:D143">C111/total1</f>
        <v>0.0737410071942446</v>
      </c>
      <c r="E111" s="29">
        <f aca="true" t="shared" si="10" ref="E111:E143">C111/(total1-q8n)</f>
        <v>0.0789980732177264</v>
      </c>
      <c r="I111" s="7"/>
      <c r="J111" s="7"/>
      <c r="K111" s="9"/>
    </row>
    <row r="112" spans="1:11" ht="11.25">
      <c r="A112" s="18"/>
      <c r="B112" s="44" t="s">
        <v>90</v>
      </c>
      <c r="C112" s="18">
        <v>20</v>
      </c>
      <c r="D112" s="28">
        <f t="shared" si="9"/>
        <v>0.03597122302158273</v>
      </c>
      <c r="E112" s="29">
        <f t="shared" si="10"/>
        <v>0.038535645472061654</v>
      </c>
      <c r="I112" s="7"/>
      <c r="J112" s="7"/>
      <c r="K112" s="9"/>
    </row>
    <row r="113" spans="1:11" ht="11.25">
      <c r="A113" s="18"/>
      <c r="B113" s="44" t="s">
        <v>91</v>
      </c>
      <c r="C113" s="18">
        <v>31</v>
      </c>
      <c r="D113" s="28">
        <f t="shared" si="9"/>
        <v>0.05575539568345324</v>
      </c>
      <c r="E113" s="29">
        <f t="shared" si="10"/>
        <v>0.05973025048169557</v>
      </c>
      <c r="I113" s="7"/>
      <c r="J113" s="7"/>
      <c r="K113" s="9"/>
    </row>
    <row r="114" spans="1:11" ht="11.25">
      <c r="A114" s="18"/>
      <c r="B114" s="44" t="s">
        <v>92</v>
      </c>
      <c r="C114" s="18">
        <v>28</v>
      </c>
      <c r="D114" s="28">
        <f t="shared" si="9"/>
        <v>0.050359712230215826</v>
      </c>
      <c r="E114" s="29">
        <f t="shared" si="10"/>
        <v>0.05394990366088632</v>
      </c>
      <c r="I114" s="7"/>
      <c r="J114" s="7"/>
      <c r="K114" s="9"/>
    </row>
    <row r="115" spans="1:11" ht="11.25">
      <c r="A115" s="18"/>
      <c r="B115" s="44" t="s">
        <v>93</v>
      </c>
      <c r="C115" s="18">
        <v>0</v>
      </c>
      <c r="D115" s="28">
        <f t="shared" si="9"/>
        <v>0</v>
      </c>
      <c r="E115" s="29">
        <f t="shared" si="10"/>
        <v>0</v>
      </c>
      <c r="I115" s="7"/>
      <c r="J115" s="7"/>
      <c r="K115" s="9"/>
    </row>
    <row r="116" spans="1:11" ht="11.25">
      <c r="A116" s="18"/>
      <c r="B116" s="44" t="s">
        <v>94</v>
      </c>
      <c r="C116" s="18">
        <v>4</v>
      </c>
      <c r="D116" s="28">
        <f t="shared" si="9"/>
        <v>0.007194244604316547</v>
      </c>
      <c r="E116" s="29">
        <f t="shared" si="10"/>
        <v>0.007707129094412331</v>
      </c>
      <c r="I116" s="7"/>
      <c r="J116" s="7"/>
      <c r="K116" s="9"/>
    </row>
    <row r="117" spans="1:11" ht="11.25">
      <c r="A117" s="18"/>
      <c r="B117" s="44" t="s">
        <v>95</v>
      </c>
      <c r="C117" s="18">
        <v>24</v>
      </c>
      <c r="D117" s="28">
        <f t="shared" si="9"/>
        <v>0.04316546762589928</v>
      </c>
      <c r="E117" s="29">
        <f t="shared" si="10"/>
        <v>0.046242774566473986</v>
      </c>
      <c r="I117" s="7"/>
      <c r="J117" s="7"/>
      <c r="K117" s="9"/>
    </row>
    <row r="118" spans="1:11" ht="11.25">
      <c r="A118" s="18"/>
      <c r="B118" s="44" t="s">
        <v>96</v>
      </c>
      <c r="C118" s="18">
        <v>13</v>
      </c>
      <c r="D118" s="28">
        <f t="shared" si="9"/>
        <v>0.023381294964028777</v>
      </c>
      <c r="E118" s="29">
        <f t="shared" si="10"/>
        <v>0.025048169556840076</v>
      </c>
      <c r="I118" s="7"/>
      <c r="J118" s="7"/>
      <c r="K118" s="9"/>
    </row>
    <row r="119" spans="1:11" ht="11.25">
      <c r="A119" s="18"/>
      <c r="B119" s="44" t="s">
        <v>97</v>
      </c>
      <c r="C119" s="18">
        <v>8</v>
      </c>
      <c r="D119" s="28">
        <f t="shared" si="9"/>
        <v>0.014388489208633094</v>
      </c>
      <c r="E119" s="29">
        <f t="shared" si="10"/>
        <v>0.015414258188824663</v>
      </c>
      <c r="I119" s="7"/>
      <c r="J119" s="7"/>
      <c r="K119" s="9"/>
    </row>
    <row r="120" spans="1:11" ht="11.25">
      <c r="A120" s="18"/>
      <c r="B120" s="44" t="s">
        <v>98</v>
      </c>
      <c r="C120" s="18">
        <v>0</v>
      </c>
      <c r="D120" s="28">
        <f t="shared" si="9"/>
        <v>0</v>
      </c>
      <c r="E120" s="29">
        <f t="shared" si="10"/>
        <v>0</v>
      </c>
      <c r="I120" s="7"/>
      <c r="J120" s="7"/>
      <c r="K120" s="9"/>
    </row>
    <row r="121" spans="1:11" ht="11.25">
      <c r="A121" s="18"/>
      <c r="B121" s="44" t="s">
        <v>99</v>
      </c>
      <c r="C121" s="18">
        <v>48</v>
      </c>
      <c r="D121" s="28">
        <f t="shared" si="9"/>
        <v>0.08633093525179857</v>
      </c>
      <c r="E121" s="29">
        <f t="shared" si="10"/>
        <v>0.09248554913294797</v>
      </c>
      <c r="I121" s="7"/>
      <c r="J121" s="7"/>
      <c r="K121" s="9"/>
    </row>
    <row r="122" spans="1:11" ht="11.25">
      <c r="A122" s="18"/>
      <c r="B122" s="44" t="s">
        <v>100</v>
      </c>
      <c r="C122" s="18">
        <v>4</v>
      </c>
      <c r="D122" s="28">
        <f t="shared" si="9"/>
        <v>0.007194244604316547</v>
      </c>
      <c r="E122" s="29">
        <f t="shared" si="10"/>
        <v>0.007707129094412331</v>
      </c>
      <c r="I122" s="7"/>
      <c r="J122" s="7"/>
      <c r="K122" s="9"/>
    </row>
    <row r="123" spans="1:11" ht="11.25">
      <c r="A123" s="18"/>
      <c r="B123" s="44" t="s">
        <v>101</v>
      </c>
      <c r="C123" s="18">
        <v>23</v>
      </c>
      <c r="D123" s="28">
        <f t="shared" si="9"/>
        <v>0.04136690647482014</v>
      </c>
      <c r="E123" s="29">
        <f t="shared" si="10"/>
        <v>0.04431599229287091</v>
      </c>
      <c r="I123" s="7"/>
      <c r="J123" s="7"/>
      <c r="K123" s="9"/>
    </row>
    <row r="124" spans="1:11" ht="11.25">
      <c r="A124" s="18"/>
      <c r="B124" s="44" t="s">
        <v>102</v>
      </c>
      <c r="C124" s="18">
        <v>22</v>
      </c>
      <c r="D124" s="28">
        <f t="shared" si="9"/>
        <v>0.039568345323741004</v>
      </c>
      <c r="E124" s="29">
        <f t="shared" si="10"/>
        <v>0.04238921001926782</v>
      </c>
      <c r="I124" s="7"/>
      <c r="J124" s="7"/>
      <c r="K124" s="9"/>
    </row>
    <row r="125" spans="1:11" ht="11.25">
      <c r="A125" s="18"/>
      <c r="B125" s="44" t="s">
        <v>103</v>
      </c>
      <c r="C125" s="18">
        <v>0</v>
      </c>
      <c r="D125" s="28">
        <f t="shared" si="9"/>
        <v>0</v>
      </c>
      <c r="E125" s="29">
        <f t="shared" si="10"/>
        <v>0</v>
      </c>
      <c r="I125" s="7"/>
      <c r="J125" s="7"/>
      <c r="K125" s="9"/>
    </row>
    <row r="126" spans="1:11" ht="11.25">
      <c r="A126" s="18"/>
      <c r="B126" s="44" t="s">
        <v>104</v>
      </c>
      <c r="C126" s="18">
        <v>4</v>
      </c>
      <c r="D126" s="28">
        <f t="shared" si="9"/>
        <v>0.007194244604316547</v>
      </c>
      <c r="E126" s="29">
        <f t="shared" si="10"/>
        <v>0.007707129094412331</v>
      </c>
      <c r="I126" s="7"/>
      <c r="J126" s="7"/>
      <c r="K126" s="9"/>
    </row>
    <row r="127" spans="1:11" ht="11.25">
      <c r="A127" s="18"/>
      <c r="B127" s="44" t="s">
        <v>105</v>
      </c>
      <c r="C127" s="18">
        <v>14</v>
      </c>
      <c r="D127" s="28">
        <f t="shared" si="9"/>
        <v>0.025179856115107913</v>
      </c>
      <c r="E127" s="29">
        <f t="shared" si="10"/>
        <v>0.02697495183044316</v>
      </c>
      <c r="I127" s="7"/>
      <c r="J127" s="7"/>
      <c r="K127" s="9"/>
    </row>
    <row r="128" spans="1:11" ht="11.25">
      <c r="A128" s="18"/>
      <c r="B128" s="44" t="s">
        <v>106</v>
      </c>
      <c r="C128" s="18">
        <v>21</v>
      </c>
      <c r="D128" s="28">
        <f t="shared" si="9"/>
        <v>0.03776978417266187</v>
      </c>
      <c r="E128" s="29">
        <f t="shared" si="10"/>
        <v>0.04046242774566474</v>
      </c>
      <c r="I128" s="7"/>
      <c r="J128" s="7"/>
      <c r="K128" s="9"/>
    </row>
    <row r="129" spans="1:11" ht="11.25">
      <c r="A129" s="18"/>
      <c r="B129" s="44" t="s">
        <v>107</v>
      </c>
      <c r="C129" s="18">
        <v>15</v>
      </c>
      <c r="D129" s="28">
        <f t="shared" si="9"/>
        <v>0.02697841726618705</v>
      </c>
      <c r="E129" s="29">
        <f t="shared" si="10"/>
        <v>0.028901734104046242</v>
      </c>
      <c r="I129" s="7"/>
      <c r="J129" s="7"/>
      <c r="K129" s="9"/>
    </row>
    <row r="130" spans="1:11" ht="11.25">
      <c r="A130" s="18"/>
      <c r="B130" s="44" t="s">
        <v>108</v>
      </c>
      <c r="C130" s="18">
        <v>21</v>
      </c>
      <c r="D130" s="28">
        <f t="shared" si="9"/>
        <v>0.03776978417266187</v>
      </c>
      <c r="E130" s="29">
        <f t="shared" si="10"/>
        <v>0.04046242774566474</v>
      </c>
      <c r="I130" s="7"/>
      <c r="J130" s="7"/>
      <c r="K130" s="9"/>
    </row>
    <row r="131" spans="1:11" ht="11.25">
      <c r="A131" s="18"/>
      <c r="B131" s="44" t="s">
        <v>109</v>
      </c>
      <c r="C131" s="18">
        <v>22</v>
      </c>
      <c r="D131" s="28">
        <f t="shared" si="9"/>
        <v>0.039568345323741004</v>
      </c>
      <c r="E131" s="29">
        <f t="shared" si="10"/>
        <v>0.04238921001926782</v>
      </c>
      <c r="I131" s="7"/>
      <c r="J131" s="7"/>
      <c r="K131" s="9"/>
    </row>
    <row r="132" spans="1:11" ht="11.25">
      <c r="A132" s="18"/>
      <c r="B132" s="44" t="s">
        <v>110</v>
      </c>
      <c r="C132" s="18">
        <v>26</v>
      </c>
      <c r="D132" s="28">
        <f t="shared" si="9"/>
        <v>0.046762589928057555</v>
      </c>
      <c r="E132" s="29">
        <f t="shared" si="10"/>
        <v>0.05009633911368015</v>
      </c>
      <c r="I132" s="7"/>
      <c r="J132" s="7"/>
      <c r="K132" s="9"/>
    </row>
    <row r="133" spans="1:11" ht="11.25">
      <c r="A133" s="18"/>
      <c r="B133" s="44" t="s">
        <v>111</v>
      </c>
      <c r="C133" s="18">
        <v>7</v>
      </c>
      <c r="D133" s="28">
        <f t="shared" si="9"/>
        <v>0.012589928057553957</v>
      </c>
      <c r="E133" s="29">
        <f t="shared" si="10"/>
        <v>0.01348747591522158</v>
      </c>
      <c r="I133" s="7"/>
      <c r="J133" s="7"/>
      <c r="K133" s="9"/>
    </row>
    <row r="134" spans="1:11" ht="11.25">
      <c r="A134" s="18"/>
      <c r="B134" s="44" t="s">
        <v>112</v>
      </c>
      <c r="C134" s="18">
        <v>3</v>
      </c>
      <c r="D134" s="28">
        <f t="shared" si="9"/>
        <v>0.00539568345323741</v>
      </c>
      <c r="E134" s="29">
        <f t="shared" si="10"/>
        <v>0.005780346820809248</v>
      </c>
      <c r="I134" s="7"/>
      <c r="J134" s="7"/>
      <c r="K134" s="9"/>
    </row>
    <row r="135" spans="1:11" ht="11.25">
      <c r="A135" s="18"/>
      <c r="B135" s="44" t="s">
        <v>113</v>
      </c>
      <c r="C135" s="18">
        <v>4</v>
      </c>
      <c r="D135" s="28">
        <f t="shared" si="9"/>
        <v>0.007194244604316547</v>
      </c>
      <c r="E135" s="29">
        <f t="shared" si="10"/>
        <v>0.007707129094412331</v>
      </c>
      <c r="I135" s="7"/>
      <c r="J135" s="7"/>
      <c r="K135" s="9"/>
    </row>
    <row r="136" spans="1:11" ht="11.25">
      <c r="A136" s="18"/>
      <c r="B136" s="44" t="s">
        <v>114</v>
      </c>
      <c r="C136" s="18">
        <v>6</v>
      </c>
      <c r="D136" s="28">
        <f t="shared" si="9"/>
        <v>0.01079136690647482</v>
      </c>
      <c r="E136" s="29">
        <f t="shared" si="10"/>
        <v>0.011560693641618497</v>
      </c>
      <c r="I136" s="7"/>
      <c r="J136" s="7"/>
      <c r="K136" s="9"/>
    </row>
    <row r="137" spans="1:11" ht="11.25">
      <c r="A137" s="18"/>
      <c r="B137" s="44" t="s">
        <v>115</v>
      </c>
      <c r="C137" s="18">
        <v>33</v>
      </c>
      <c r="D137" s="28">
        <f t="shared" si="9"/>
        <v>0.05935251798561151</v>
      </c>
      <c r="E137" s="29">
        <f t="shared" si="10"/>
        <v>0.06358381502890173</v>
      </c>
      <c r="I137" s="7"/>
      <c r="J137" s="7"/>
      <c r="K137" s="9"/>
    </row>
    <row r="138" spans="1:11" ht="11.25">
      <c r="A138" s="18"/>
      <c r="B138" s="44" t="s">
        <v>116</v>
      </c>
      <c r="C138" s="18">
        <v>35</v>
      </c>
      <c r="D138" s="28">
        <f t="shared" si="9"/>
        <v>0.06294964028776978</v>
      </c>
      <c r="E138" s="29">
        <f t="shared" si="10"/>
        <v>0.0674373795761079</v>
      </c>
      <c r="I138" s="7"/>
      <c r="J138" s="7"/>
      <c r="K138" s="9"/>
    </row>
    <row r="139" spans="1:11" ht="11.25">
      <c r="A139" s="18"/>
      <c r="B139" s="44" t="s">
        <v>117</v>
      </c>
      <c r="C139" s="18">
        <v>9</v>
      </c>
      <c r="D139" s="28">
        <f t="shared" si="9"/>
        <v>0.01618705035971223</v>
      </c>
      <c r="E139" s="29">
        <f t="shared" si="10"/>
        <v>0.017341040462427744</v>
      </c>
      <c r="I139" s="7"/>
      <c r="J139" s="7"/>
      <c r="K139" s="9"/>
    </row>
    <row r="140" spans="1:11" ht="11.25">
      <c r="A140" s="18"/>
      <c r="B140" s="44" t="s">
        <v>118</v>
      </c>
      <c r="C140" s="18">
        <v>14</v>
      </c>
      <c r="D140" s="28">
        <f t="shared" si="9"/>
        <v>0.025179856115107913</v>
      </c>
      <c r="E140" s="29">
        <f t="shared" si="10"/>
        <v>0.02697495183044316</v>
      </c>
      <c r="I140" s="7"/>
      <c r="J140" s="7"/>
      <c r="K140" s="9"/>
    </row>
    <row r="141" spans="1:11" ht="11.25">
      <c r="A141" s="18"/>
      <c r="B141" s="44" t="s">
        <v>119</v>
      </c>
      <c r="C141" s="18">
        <v>1</v>
      </c>
      <c r="D141" s="28">
        <f t="shared" si="9"/>
        <v>0.0017985611510791368</v>
      </c>
      <c r="E141" s="29">
        <f t="shared" si="10"/>
        <v>0.0019267822736030828</v>
      </c>
      <c r="I141" s="7"/>
      <c r="J141" s="7"/>
      <c r="K141" s="9"/>
    </row>
    <row r="142" spans="1:11" ht="11.25">
      <c r="A142" s="18"/>
      <c r="B142" s="44" t="s">
        <v>120</v>
      </c>
      <c r="C142" s="18">
        <v>6</v>
      </c>
      <c r="D142" s="28">
        <f t="shared" si="9"/>
        <v>0.01079136690647482</v>
      </c>
      <c r="E142" s="29">
        <f t="shared" si="10"/>
        <v>0.011560693641618497</v>
      </c>
      <c r="I142" s="7"/>
      <c r="J142" s="7"/>
      <c r="K142" s="9"/>
    </row>
    <row r="143" spans="1:11" ht="11.25">
      <c r="A143" s="18"/>
      <c r="B143" s="44" t="s">
        <v>121</v>
      </c>
      <c r="C143" s="18">
        <v>1</v>
      </c>
      <c r="D143" s="28">
        <f t="shared" si="9"/>
        <v>0.0017985611510791368</v>
      </c>
      <c r="E143" s="29">
        <f t="shared" si="10"/>
        <v>0.0019267822736030828</v>
      </c>
      <c r="I143" s="7"/>
      <c r="J143" s="7"/>
      <c r="K143" s="9"/>
    </row>
    <row r="144" spans="1:11" ht="10.5" customHeight="1">
      <c r="A144" s="23"/>
      <c r="B144" s="56" t="s">
        <v>122</v>
      </c>
      <c r="C144" s="23"/>
      <c r="D144" s="27"/>
      <c r="E144" s="34"/>
      <c r="F144" s="11"/>
      <c r="G144" s="11"/>
      <c r="H144" s="11"/>
      <c r="I144" s="11"/>
      <c r="J144" s="11"/>
      <c r="K144" s="12"/>
    </row>
    <row r="145" spans="1:11" ht="12.75">
      <c r="A145" s="1" t="s">
        <v>0</v>
      </c>
      <c r="B145" s="2"/>
      <c r="C145" s="3"/>
      <c r="D145" s="35"/>
      <c r="E145" s="36"/>
      <c r="F145" s="2"/>
      <c r="G145" s="36"/>
      <c r="H145" s="36"/>
      <c r="I145" s="2"/>
      <c r="J145" s="2"/>
      <c r="K145" s="4" t="s">
        <v>123</v>
      </c>
    </row>
    <row r="146" spans="1:11" ht="12.75">
      <c r="A146" s="6" t="s">
        <v>2</v>
      </c>
      <c r="B146" s="7"/>
      <c r="C146" s="8"/>
      <c r="D146" s="8"/>
      <c r="E146" s="7"/>
      <c r="F146" s="7"/>
      <c r="G146" s="49"/>
      <c r="H146" s="49"/>
      <c r="I146" s="7"/>
      <c r="J146" s="7"/>
      <c r="K146" s="9"/>
    </row>
    <row r="147" spans="1:11" ht="12.75">
      <c r="A147" s="6" t="s">
        <v>3</v>
      </c>
      <c r="B147" s="7"/>
      <c r="C147" s="8"/>
      <c r="D147" s="8"/>
      <c r="E147" s="7"/>
      <c r="F147" s="7"/>
      <c r="G147" s="49"/>
      <c r="H147" s="49"/>
      <c r="I147" s="7"/>
      <c r="J147" s="7"/>
      <c r="K147" s="9"/>
    </row>
    <row r="148" spans="1:11" ht="12.75">
      <c r="A148" s="57" t="s">
        <v>4</v>
      </c>
      <c r="B148" s="11"/>
      <c r="C148" s="58"/>
      <c r="D148" s="58"/>
      <c r="E148" s="11"/>
      <c r="F148" s="11"/>
      <c r="G148" s="59"/>
      <c r="H148" s="59"/>
      <c r="I148" s="11"/>
      <c r="J148" s="11"/>
      <c r="K148" s="12"/>
    </row>
    <row r="149" spans="1:11" ht="11.25">
      <c r="A149" s="18"/>
      <c r="B149" s="9"/>
      <c r="C149" s="20"/>
      <c r="D149" s="21" t="s">
        <v>5</v>
      </c>
      <c r="E149" s="22" t="s">
        <v>5</v>
      </c>
      <c r="F149" s="7"/>
      <c r="G149" s="49"/>
      <c r="H149" s="49"/>
      <c r="I149" s="7"/>
      <c r="J149" s="7"/>
      <c r="K149" s="14"/>
    </row>
    <row r="150" spans="1:11" ht="12.75">
      <c r="A150" s="19" t="s">
        <v>44</v>
      </c>
      <c r="B150" s="9"/>
      <c r="C150" s="20"/>
      <c r="D150" s="21" t="s">
        <v>7</v>
      </c>
      <c r="E150" s="22" t="s">
        <v>8</v>
      </c>
      <c r="F150" s="7"/>
      <c r="G150" s="49"/>
      <c r="H150" s="49"/>
      <c r="I150" s="7"/>
      <c r="J150" s="7"/>
      <c r="K150" s="9"/>
    </row>
    <row r="151" spans="1:11" ht="11.25">
      <c r="A151" s="23"/>
      <c r="B151" s="12"/>
      <c r="C151" s="24" t="s">
        <v>9</v>
      </c>
      <c r="D151" s="25" t="s">
        <v>10</v>
      </c>
      <c r="E151" s="26" t="s">
        <v>10</v>
      </c>
      <c r="F151" s="7"/>
      <c r="G151" s="49"/>
      <c r="H151" s="49"/>
      <c r="I151" s="7"/>
      <c r="J151" s="7"/>
      <c r="K151" s="9"/>
    </row>
    <row r="152" spans="1:11" ht="11.25">
      <c r="A152" s="18" t="s">
        <v>124</v>
      </c>
      <c r="B152" s="7" t="s">
        <v>125</v>
      </c>
      <c r="C152" s="60"/>
      <c r="D152" s="61"/>
      <c r="E152" s="62"/>
      <c r="F152" s="7"/>
      <c r="G152" s="49"/>
      <c r="H152" s="49"/>
      <c r="I152" s="7"/>
      <c r="J152" s="7"/>
      <c r="K152" s="9"/>
    </row>
    <row r="153" spans="1:11" ht="11.25">
      <c r="A153" s="18"/>
      <c r="B153" s="44" t="s">
        <v>126</v>
      </c>
      <c r="C153" s="18">
        <v>2</v>
      </c>
      <c r="D153" s="28">
        <f aca="true" t="shared" si="11" ref="D153:D158">C153/total1</f>
        <v>0.0035971223021582736</v>
      </c>
      <c r="E153" s="29">
        <f>C153/(total1-q8n)</f>
        <v>0.0038535645472061657</v>
      </c>
      <c r="F153" s="7"/>
      <c r="G153" s="7"/>
      <c r="H153" s="7"/>
      <c r="I153" s="7"/>
      <c r="J153" s="7"/>
      <c r="K153" s="9"/>
    </row>
    <row r="154" spans="1:11" ht="11.25">
      <c r="A154" s="18"/>
      <c r="B154" s="44" t="s">
        <v>127</v>
      </c>
      <c r="C154" s="18">
        <v>0</v>
      </c>
      <c r="D154" s="28">
        <f t="shared" si="11"/>
        <v>0</v>
      </c>
      <c r="E154" s="29">
        <f>C154/(total1-q8n)</f>
        <v>0</v>
      </c>
      <c r="I154" s="7"/>
      <c r="J154" s="7"/>
      <c r="K154" s="9"/>
    </row>
    <row r="155" spans="1:11" ht="11.25">
      <c r="A155" s="18"/>
      <c r="B155" s="44" t="s">
        <v>128</v>
      </c>
      <c r="C155" s="18">
        <v>2</v>
      </c>
      <c r="D155" s="28">
        <f t="shared" si="11"/>
        <v>0.0035971223021582736</v>
      </c>
      <c r="E155" s="29">
        <f>C155/(total1-q8n)</f>
        <v>0.0038535645472061657</v>
      </c>
      <c r="I155" s="7"/>
      <c r="J155" s="7"/>
      <c r="K155" s="9"/>
    </row>
    <row r="156" spans="1:11" ht="11.25">
      <c r="A156" s="18"/>
      <c r="B156" s="44" t="s">
        <v>129</v>
      </c>
      <c r="C156" s="18">
        <v>1</v>
      </c>
      <c r="D156" s="28">
        <f t="shared" si="11"/>
        <v>0.0017985611510791368</v>
      </c>
      <c r="E156" s="29">
        <f>C156/(total1-q8n)</f>
        <v>0.0019267822736030828</v>
      </c>
      <c r="I156" s="7"/>
      <c r="J156" s="7"/>
      <c r="K156" s="9"/>
    </row>
    <row r="157" spans="1:11" ht="11.25">
      <c r="A157" s="18"/>
      <c r="B157" s="44" t="s">
        <v>130</v>
      </c>
      <c r="C157" s="18">
        <v>6</v>
      </c>
      <c r="D157" s="28">
        <f t="shared" si="11"/>
        <v>0.01079136690647482</v>
      </c>
      <c r="E157" s="29">
        <f>C157/(total1-q8n)</f>
        <v>0.011560693641618497</v>
      </c>
      <c r="I157" s="7"/>
      <c r="J157" s="7"/>
      <c r="K157" s="9"/>
    </row>
    <row r="158" spans="1:11" ht="11.25">
      <c r="A158" s="23"/>
      <c r="B158" s="47" t="s">
        <v>18</v>
      </c>
      <c r="C158" s="23">
        <v>37</v>
      </c>
      <c r="D158" s="27">
        <f t="shared" si="11"/>
        <v>0.06654676258992806</v>
      </c>
      <c r="E158" s="30" t="s">
        <v>19</v>
      </c>
      <c r="F158" s="18"/>
      <c r="G158" s="7"/>
      <c r="H158" s="7"/>
      <c r="I158" s="7"/>
      <c r="J158" s="7"/>
      <c r="K158" s="9"/>
    </row>
    <row r="159" spans="1:11" ht="11.25">
      <c r="A159" s="63" t="s">
        <v>131</v>
      </c>
      <c r="B159" s="44" t="s">
        <v>132</v>
      </c>
      <c r="C159" s="13"/>
      <c r="D159" s="64"/>
      <c r="E159" s="65"/>
      <c r="I159" s="7"/>
      <c r="J159" s="7"/>
      <c r="K159" s="9"/>
    </row>
    <row r="160" spans="1:11" ht="11.25">
      <c r="A160" s="18"/>
      <c r="B160" s="44" t="s">
        <v>133</v>
      </c>
      <c r="C160" s="18">
        <v>4</v>
      </c>
      <c r="D160" s="28">
        <f aca="true" t="shared" si="12" ref="D160:D180">C160/total1</f>
        <v>0.007194244604316547</v>
      </c>
      <c r="E160" s="29">
        <f aca="true" t="shared" si="13" ref="E160:E179">C160/(total1-q10n)</f>
        <v>0.010126582278481013</v>
      </c>
      <c r="I160" s="7"/>
      <c r="J160" s="7"/>
      <c r="K160" s="9"/>
    </row>
    <row r="161" spans="1:11" ht="11.25">
      <c r="A161" s="18"/>
      <c r="B161" s="44" t="s">
        <v>134</v>
      </c>
      <c r="C161" s="18">
        <v>1</v>
      </c>
      <c r="D161" s="28">
        <f t="shared" si="12"/>
        <v>0.0017985611510791368</v>
      </c>
      <c r="E161" s="29">
        <f t="shared" si="13"/>
        <v>0.002531645569620253</v>
      </c>
      <c r="I161" s="7"/>
      <c r="J161" s="7"/>
      <c r="K161" s="9"/>
    </row>
    <row r="162" spans="1:11" ht="11.25">
      <c r="A162" s="18"/>
      <c r="B162" s="44" t="s">
        <v>135</v>
      </c>
      <c r="C162" s="18">
        <v>6</v>
      </c>
      <c r="D162" s="28">
        <f t="shared" si="12"/>
        <v>0.01079136690647482</v>
      </c>
      <c r="E162" s="29">
        <f t="shared" si="13"/>
        <v>0.015189873417721518</v>
      </c>
      <c r="I162" s="7"/>
      <c r="J162" s="7"/>
      <c r="K162" s="9"/>
    </row>
    <row r="163" spans="1:11" ht="11.25">
      <c r="A163" s="18"/>
      <c r="B163" s="44" t="s">
        <v>136</v>
      </c>
      <c r="C163" s="18">
        <v>11</v>
      </c>
      <c r="D163" s="28">
        <f t="shared" si="12"/>
        <v>0.019784172661870502</v>
      </c>
      <c r="E163" s="29">
        <f t="shared" si="13"/>
        <v>0.027848101265822784</v>
      </c>
      <c r="I163" s="7"/>
      <c r="J163" s="7"/>
      <c r="K163" s="9"/>
    </row>
    <row r="164" spans="1:11" ht="11.25">
      <c r="A164" s="18"/>
      <c r="B164" s="44" t="s">
        <v>137</v>
      </c>
      <c r="C164" s="18">
        <v>17</v>
      </c>
      <c r="D164" s="28">
        <f t="shared" si="12"/>
        <v>0.030575539568345324</v>
      </c>
      <c r="E164" s="29">
        <f t="shared" si="13"/>
        <v>0.043037974683544304</v>
      </c>
      <c r="I164" s="7"/>
      <c r="J164" s="7"/>
      <c r="K164" s="9"/>
    </row>
    <row r="165" spans="1:11" ht="11.25">
      <c r="A165" s="18"/>
      <c r="B165" s="44" t="s">
        <v>138</v>
      </c>
      <c r="C165" s="18">
        <v>3</v>
      </c>
      <c r="D165" s="28">
        <f t="shared" si="12"/>
        <v>0.00539568345323741</v>
      </c>
      <c r="E165" s="29">
        <f t="shared" si="13"/>
        <v>0.007594936708860759</v>
      </c>
      <c r="I165" s="7"/>
      <c r="J165" s="7"/>
      <c r="K165" s="9"/>
    </row>
    <row r="166" spans="1:11" ht="11.25">
      <c r="A166" s="18"/>
      <c r="B166" s="44" t="s">
        <v>139</v>
      </c>
      <c r="C166" s="18">
        <v>26</v>
      </c>
      <c r="D166" s="28">
        <f t="shared" si="12"/>
        <v>0.046762589928057555</v>
      </c>
      <c r="E166" s="29">
        <f t="shared" si="13"/>
        <v>0.06582278481012659</v>
      </c>
      <c r="I166" s="7"/>
      <c r="J166" s="7"/>
      <c r="K166" s="9"/>
    </row>
    <row r="167" spans="1:11" ht="11.25">
      <c r="A167" s="18"/>
      <c r="B167" s="44" t="s">
        <v>140</v>
      </c>
      <c r="C167" s="18">
        <v>12</v>
      </c>
      <c r="D167" s="28">
        <f t="shared" si="12"/>
        <v>0.02158273381294964</v>
      </c>
      <c r="E167" s="29">
        <f t="shared" si="13"/>
        <v>0.030379746835443037</v>
      </c>
      <c r="I167" s="7"/>
      <c r="J167" s="7"/>
      <c r="K167" s="9"/>
    </row>
    <row r="168" spans="1:11" ht="11.25">
      <c r="A168" s="18"/>
      <c r="B168" s="44" t="s">
        <v>141</v>
      </c>
      <c r="C168" s="18">
        <v>13</v>
      </c>
      <c r="D168" s="28">
        <f t="shared" si="12"/>
        <v>0.023381294964028777</v>
      </c>
      <c r="E168" s="29">
        <f t="shared" si="13"/>
        <v>0.03291139240506329</v>
      </c>
      <c r="I168" s="7"/>
      <c r="J168" s="7"/>
      <c r="K168" s="9"/>
    </row>
    <row r="169" spans="1:11" ht="11.25">
      <c r="A169" s="18"/>
      <c r="B169" s="44" t="s">
        <v>142</v>
      </c>
      <c r="C169" s="18">
        <v>34</v>
      </c>
      <c r="D169" s="28">
        <f t="shared" si="12"/>
        <v>0.06115107913669065</v>
      </c>
      <c r="E169" s="29">
        <f t="shared" si="13"/>
        <v>0.08607594936708861</v>
      </c>
      <c r="I169" s="7"/>
      <c r="J169" s="7"/>
      <c r="K169" s="9"/>
    </row>
    <row r="170" spans="1:11" ht="11.25">
      <c r="A170" s="18"/>
      <c r="B170" s="44" t="s">
        <v>143</v>
      </c>
      <c r="C170" s="18">
        <v>2</v>
      </c>
      <c r="D170" s="28">
        <f t="shared" si="12"/>
        <v>0.0035971223021582736</v>
      </c>
      <c r="E170" s="29">
        <f t="shared" si="13"/>
        <v>0.005063291139240506</v>
      </c>
      <c r="I170" s="7"/>
      <c r="J170" s="7"/>
      <c r="K170" s="9"/>
    </row>
    <row r="171" spans="1:11" ht="11.25">
      <c r="A171" s="18"/>
      <c r="B171" s="44" t="s">
        <v>144</v>
      </c>
      <c r="C171" s="18">
        <v>27</v>
      </c>
      <c r="D171" s="28">
        <f t="shared" si="12"/>
        <v>0.048561151079136694</v>
      </c>
      <c r="E171" s="29">
        <f t="shared" si="13"/>
        <v>0.06835443037974684</v>
      </c>
      <c r="I171" s="7"/>
      <c r="J171" s="7"/>
      <c r="K171" s="9"/>
    </row>
    <row r="172" spans="1:11" ht="11.25">
      <c r="A172" s="18"/>
      <c r="B172" s="44" t="s">
        <v>145</v>
      </c>
      <c r="C172" s="18">
        <v>5</v>
      </c>
      <c r="D172" s="28">
        <f t="shared" si="12"/>
        <v>0.008992805755395683</v>
      </c>
      <c r="E172" s="29">
        <f t="shared" si="13"/>
        <v>0.012658227848101266</v>
      </c>
      <c r="I172" s="7"/>
      <c r="J172" s="7"/>
      <c r="K172" s="9"/>
    </row>
    <row r="173" spans="1:11" ht="11.25">
      <c r="A173" s="18"/>
      <c r="B173" s="44" t="s">
        <v>146</v>
      </c>
      <c r="C173" s="18">
        <v>3</v>
      </c>
      <c r="D173" s="28">
        <f t="shared" si="12"/>
        <v>0.00539568345323741</v>
      </c>
      <c r="E173" s="29">
        <f t="shared" si="13"/>
        <v>0.007594936708860759</v>
      </c>
      <c r="I173" s="7"/>
      <c r="J173" s="7"/>
      <c r="K173" s="9"/>
    </row>
    <row r="174" spans="1:11" ht="11.25">
      <c r="A174" s="18"/>
      <c r="B174" s="44" t="s">
        <v>147</v>
      </c>
      <c r="C174" s="18">
        <v>90</v>
      </c>
      <c r="D174" s="28">
        <f t="shared" si="12"/>
        <v>0.1618705035971223</v>
      </c>
      <c r="E174" s="29">
        <f t="shared" si="13"/>
        <v>0.22784810126582278</v>
      </c>
      <c r="I174" s="7"/>
      <c r="J174" s="7"/>
      <c r="K174" s="9"/>
    </row>
    <row r="175" spans="1:11" ht="11.25">
      <c r="A175" s="18"/>
      <c r="B175" s="44" t="s">
        <v>148</v>
      </c>
      <c r="C175" s="18">
        <v>80</v>
      </c>
      <c r="D175" s="28">
        <f t="shared" si="12"/>
        <v>0.14388489208633093</v>
      </c>
      <c r="E175" s="29">
        <f t="shared" si="13"/>
        <v>0.20253164556962025</v>
      </c>
      <c r="I175" s="7"/>
      <c r="J175" s="7"/>
      <c r="K175" s="9"/>
    </row>
    <row r="176" spans="1:11" ht="11.25">
      <c r="A176" s="18"/>
      <c r="B176" s="44" t="s">
        <v>149</v>
      </c>
      <c r="C176" s="18">
        <v>11</v>
      </c>
      <c r="D176" s="28">
        <f t="shared" si="12"/>
        <v>0.019784172661870502</v>
      </c>
      <c r="E176" s="29">
        <f t="shared" si="13"/>
        <v>0.027848101265822784</v>
      </c>
      <c r="I176" s="7"/>
      <c r="J176" s="7"/>
      <c r="K176" s="9"/>
    </row>
    <row r="177" spans="1:11" ht="11.25">
      <c r="A177" s="18"/>
      <c r="B177" s="44" t="s">
        <v>150</v>
      </c>
      <c r="C177" s="18">
        <v>14</v>
      </c>
      <c r="D177" s="28">
        <f t="shared" si="12"/>
        <v>0.025179856115107913</v>
      </c>
      <c r="E177" s="29">
        <f t="shared" si="13"/>
        <v>0.035443037974683546</v>
      </c>
      <c r="I177" s="7"/>
      <c r="J177" s="7"/>
      <c r="K177" s="9"/>
    </row>
    <row r="178" spans="1:11" ht="11.25">
      <c r="A178" s="18"/>
      <c r="B178" s="44" t="s">
        <v>151</v>
      </c>
      <c r="C178" s="18">
        <v>30</v>
      </c>
      <c r="D178" s="28">
        <f t="shared" si="12"/>
        <v>0.0539568345323741</v>
      </c>
      <c r="E178" s="29">
        <f t="shared" si="13"/>
        <v>0.0759493670886076</v>
      </c>
      <c r="I178" s="7"/>
      <c r="J178" s="7"/>
      <c r="K178" s="9"/>
    </row>
    <row r="179" spans="1:11" ht="11.25">
      <c r="A179" s="18"/>
      <c r="B179" s="44" t="s">
        <v>152</v>
      </c>
      <c r="C179" s="18">
        <v>6</v>
      </c>
      <c r="D179" s="28">
        <f t="shared" si="12"/>
        <v>0.01079136690647482</v>
      </c>
      <c r="E179" s="29">
        <f t="shared" si="13"/>
        <v>0.015189873417721518</v>
      </c>
      <c r="I179" s="7"/>
      <c r="J179" s="7"/>
      <c r="K179" s="9"/>
    </row>
    <row r="180" spans="1:11" ht="11.25">
      <c r="A180" s="23"/>
      <c r="B180" s="47" t="s">
        <v>18</v>
      </c>
      <c r="C180" s="23">
        <v>161</v>
      </c>
      <c r="D180" s="27">
        <f t="shared" si="12"/>
        <v>0.289568345323741</v>
      </c>
      <c r="E180" s="30" t="s">
        <v>19</v>
      </c>
      <c r="I180" s="7"/>
      <c r="J180" s="7"/>
      <c r="K180" s="9"/>
    </row>
    <row r="181" spans="1:11" ht="12.75">
      <c r="A181" s="13"/>
      <c r="B181" s="2"/>
      <c r="C181" s="66" t="s">
        <v>153</v>
      </c>
      <c r="D181" s="67"/>
      <c r="E181" s="67"/>
      <c r="F181" s="66" t="s">
        <v>154</v>
      </c>
      <c r="G181" s="68"/>
      <c r="H181" s="69"/>
      <c r="I181" s="7"/>
      <c r="J181" s="7"/>
      <c r="K181" s="9"/>
    </row>
    <row r="182" spans="1:11" ht="11.25">
      <c r="A182" s="18"/>
      <c r="B182" s="9"/>
      <c r="C182" s="70"/>
      <c r="D182" s="71" t="s">
        <v>5</v>
      </c>
      <c r="E182" s="71" t="s">
        <v>5</v>
      </c>
      <c r="F182" s="72"/>
      <c r="G182" s="71" t="s">
        <v>5</v>
      </c>
      <c r="H182" s="73" t="s">
        <v>5</v>
      </c>
      <c r="I182" s="7"/>
      <c r="J182" s="7"/>
      <c r="K182" s="9"/>
    </row>
    <row r="183" spans="1:11" ht="12.75">
      <c r="A183" s="74" t="s">
        <v>155</v>
      </c>
      <c r="B183" s="9"/>
      <c r="C183" s="70"/>
      <c r="D183" s="71" t="s">
        <v>7</v>
      </c>
      <c r="E183" s="71" t="s">
        <v>8</v>
      </c>
      <c r="F183" s="72"/>
      <c r="G183" s="71" t="s">
        <v>7</v>
      </c>
      <c r="H183" s="73" t="s">
        <v>8</v>
      </c>
      <c r="I183" s="7"/>
      <c r="J183" s="7"/>
      <c r="K183" s="9"/>
    </row>
    <row r="184" spans="1:11" ht="11.25">
      <c r="A184" s="23"/>
      <c r="B184" s="12"/>
      <c r="C184" s="75" t="s">
        <v>9</v>
      </c>
      <c r="D184" s="75" t="s">
        <v>10</v>
      </c>
      <c r="E184" s="75" t="s">
        <v>10</v>
      </c>
      <c r="F184" s="76" t="s">
        <v>9</v>
      </c>
      <c r="G184" s="75" t="s">
        <v>10</v>
      </c>
      <c r="H184" s="77" t="s">
        <v>10</v>
      </c>
      <c r="I184" s="7"/>
      <c r="J184" s="7"/>
      <c r="K184" s="9"/>
    </row>
    <row r="185" spans="1:11" ht="11.25">
      <c r="A185" s="23" t="s">
        <v>11</v>
      </c>
      <c r="B185" s="11"/>
      <c r="C185" s="23">
        <v>211</v>
      </c>
      <c r="D185" s="59">
        <v>1</v>
      </c>
      <c r="E185" s="11"/>
      <c r="F185" s="23">
        <v>434</v>
      </c>
      <c r="G185" s="59">
        <v>1</v>
      </c>
      <c r="H185" s="12"/>
      <c r="I185" s="7"/>
      <c r="J185" s="7"/>
      <c r="K185" s="9"/>
    </row>
    <row r="186" spans="1:11" ht="11.25">
      <c r="A186" s="18" t="s">
        <v>12</v>
      </c>
      <c r="B186" s="7" t="s">
        <v>13</v>
      </c>
      <c r="C186" s="18"/>
      <c r="D186" s="7"/>
      <c r="E186" s="7"/>
      <c r="F186" s="18"/>
      <c r="G186" s="7"/>
      <c r="H186" s="9"/>
      <c r="I186" s="7"/>
      <c r="J186" s="7"/>
      <c r="K186" s="9"/>
    </row>
    <row r="187" spans="1:11" ht="11.25">
      <c r="A187" s="18"/>
      <c r="B187" s="7" t="s">
        <v>156</v>
      </c>
      <c r="C187" s="18">
        <v>142</v>
      </c>
      <c r="D187" s="49">
        <f>C187/totalm</f>
        <v>0.6729857819905213</v>
      </c>
      <c r="E187" s="49">
        <f>C187/(totalm-q1nm)</f>
        <v>0.6794258373205742</v>
      </c>
      <c r="F187" s="18">
        <v>303</v>
      </c>
      <c r="G187" s="49">
        <f>F187/totalf</f>
        <v>0.6981566820276498</v>
      </c>
      <c r="H187" s="50">
        <f>F187/(totalf-q1nf)</f>
        <v>0.6981566820276498</v>
      </c>
      <c r="I187" s="7"/>
      <c r="J187" s="7"/>
      <c r="K187" s="9"/>
    </row>
    <row r="188" spans="1:11" ht="11.25">
      <c r="A188" s="18"/>
      <c r="B188" s="7" t="s">
        <v>157</v>
      </c>
      <c r="C188" s="18">
        <v>35</v>
      </c>
      <c r="D188" s="49">
        <f>C188/totalm</f>
        <v>0.16587677725118483</v>
      </c>
      <c r="E188" s="49">
        <f>C188/(totalm-q1nm)</f>
        <v>0.1674641148325359</v>
      </c>
      <c r="F188" s="18">
        <v>76</v>
      </c>
      <c r="G188" s="49">
        <f>F188/totalf</f>
        <v>0.17511520737327188</v>
      </c>
      <c r="H188" s="50">
        <f>F188/(totalf-q1nf)</f>
        <v>0.17511520737327188</v>
      </c>
      <c r="I188" s="7"/>
      <c r="J188" s="7"/>
      <c r="K188" s="9"/>
    </row>
    <row r="189" spans="1:11" ht="11.25">
      <c r="A189" s="18"/>
      <c r="B189" s="7" t="s">
        <v>158</v>
      </c>
      <c r="C189" s="18">
        <v>21</v>
      </c>
      <c r="D189" s="49">
        <f>C189/totalm</f>
        <v>0.0995260663507109</v>
      </c>
      <c r="E189" s="49">
        <f>C189/(totalm-q1nm)</f>
        <v>0.10047846889952153</v>
      </c>
      <c r="F189" s="18">
        <v>23</v>
      </c>
      <c r="G189" s="49">
        <f>F189/totalf</f>
        <v>0.052995391705069124</v>
      </c>
      <c r="H189" s="50">
        <f>F189/(totalf-q1nf)</f>
        <v>0.052995391705069124</v>
      </c>
      <c r="I189" s="7"/>
      <c r="J189" s="7"/>
      <c r="K189" s="9"/>
    </row>
    <row r="190" spans="1:11" ht="11.25">
      <c r="A190" s="18"/>
      <c r="B190" s="7" t="s">
        <v>159</v>
      </c>
      <c r="C190" s="18">
        <v>11</v>
      </c>
      <c r="D190" s="49">
        <f>C190/totalm</f>
        <v>0.052132701421800945</v>
      </c>
      <c r="E190" s="49">
        <f>C190/(totalm-q1nm)</f>
        <v>0.05263157894736842</v>
      </c>
      <c r="F190" s="18">
        <v>32</v>
      </c>
      <c r="G190" s="49">
        <f>F190/totalf</f>
        <v>0.07373271889400922</v>
      </c>
      <c r="H190" s="50">
        <f>F190/(totalf-q1nf)</f>
        <v>0.07373271889400922</v>
      </c>
      <c r="I190" s="7"/>
      <c r="J190" s="7"/>
      <c r="K190" s="9"/>
    </row>
    <row r="191" spans="1:11" ht="11.25">
      <c r="A191" s="23"/>
      <c r="B191" s="11" t="s">
        <v>160</v>
      </c>
      <c r="C191" s="23">
        <v>2</v>
      </c>
      <c r="D191" s="59">
        <f>C191/totalm</f>
        <v>0.009478672985781991</v>
      </c>
      <c r="E191" s="78" t="s">
        <v>19</v>
      </c>
      <c r="F191" s="23">
        <v>0</v>
      </c>
      <c r="G191" s="59">
        <f>F191/totalf</f>
        <v>0</v>
      </c>
      <c r="H191" s="79" t="s">
        <v>19</v>
      </c>
      <c r="I191" s="23"/>
      <c r="J191" s="11"/>
      <c r="K191" s="12"/>
    </row>
    <row r="192" spans="1:11" ht="25.5" customHeight="1">
      <c r="A192" s="2"/>
      <c r="B192" s="42"/>
      <c r="C192" s="2"/>
      <c r="D192" s="32"/>
      <c r="E192" s="80"/>
      <c r="F192" s="2"/>
      <c r="G192" s="36"/>
      <c r="H192" s="36"/>
      <c r="I192" s="2"/>
      <c r="J192" s="2"/>
      <c r="K192" s="2"/>
    </row>
    <row r="193" spans="1:11" ht="12.75">
      <c r="A193" s="1" t="s">
        <v>0</v>
      </c>
      <c r="B193" s="2"/>
      <c r="C193" s="3"/>
      <c r="D193" s="3"/>
      <c r="E193" s="2"/>
      <c r="F193" s="2"/>
      <c r="G193" s="36"/>
      <c r="H193" s="36"/>
      <c r="I193" s="2"/>
      <c r="J193" s="2"/>
      <c r="K193" s="4" t="s">
        <v>161</v>
      </c>
    </row>
    <row r="194" spans="1:11" ht="12.75">
      <c r="A194" s="6" t="s">
        <v>2</v>
      </c>
      <c r="B194" s="7"/>
      <c r="C194" s="8"/>
      <c r="D194" s="8"/>
      <c r="E194" s="7"/>
      <c r="F194" s="7"/>
      <c r="G194" s="49"/>
      <c r="H194" s="49"/>
      <c r="I194" s="7"/>
      <c r="J194" s="7"/>
      <c r="K194" s="9"/>
    </row>
    <row r="195" spans="1:11" ht="12.75">
      <c r="A195" s="6" t="s">
        <v>3</v>
      </c>
      <c r="B195" s="7"/>
      <c r="C195" s="8"/>
      <c r="D195" s="8"/>
      <c r="E195" s="7"/>
      <c r="F195" s="7"/>
      <c r="G195" s="49"/>
      <c r="H195" s="49"/>
      <c r="I195" s="7"/>
      <c r="J195" s="7"/>
      <c r="K195" s="9"/>
    </row>
    <row r="196" spans="1:11" ht="15" customHeight="1">
      <c r="A196" s="57" t="s">
        <v>4</v>
      </c>
      <c r="B196" s="11"/>
      <c r="C196" s="11"/>
      <c r="D196" s="11"/>
      <c r="E196" s="11"/>
      <c r="F196" s="11"/>
      <c r="G196" s="59"/>
      <c r="H196" s="59"/>
      <c r="I196" s="11"/>
      <c r="J196" s="11"/>
      <c r="K196" s="12"/>
    </row>
    <row r="197" spans="1:11" ht="12.75">
      <c r="A197" s="13"/>
      <c r="B197" s="2"/>
      <c r="C197" s="66" t="s">
        <v>153</v>
      </c>
      <c r="D197" s="67"/>
      <c r="E197" s="67"/>
      <c r="F197" s="66" t="s">
        <v>154</v>
      </c>
      <c r="G197" s="68"/>
      <c r="H197" s="69"/>
      <c r="I197" s="7"/>
      <c r="J197" s="7"/>
      <c r="K197" s="9"/>
    </row>
    <row r="198" spans="1:11" ht="11.25">
      <c r="A198" s="18"/>
      <c r="B198" s="9"/>
      <c r="C198" s="70"/>
      <c r="D198" s="71" t="s">
        <v>5</v>
      </c>
      <c r="E198" s="71" t="s">
        <v>5</v>
      </c>
      <c r="F198" s="72"/>
      <c r="G198" s="71" t="s">
        <v>5</v>
      </c>
      <c r="H198" s="73" t="s">
        <v>5</v>
      </c>
      <c r="I198" s="7"/>
      <c r="J198" s="7"/>
      <c r="K198" s="9"/>
    </row>
    <row r="199" spans="1:11" ht="12.75">
      <c r="A199" s="74" t="s">
        <v>155</v>
      </c>
      <c r="B199" s="9"/>
      <c r="C199" s="70"/>
      <c r="D199" s="71" t="s">
        <v>7</v>
      </c>
      <c r="E199" s="71" t="s">
        <v>8</v>
      </c>
      <c r="F199" s="72"/>
      <c r="G199" s="71" t="s">
        <v>7</v>
      </c>
      <c r="H199" s="73" t="s">
        <v>8</v>
      </c>
      <c r="I199" s="7"/>
      <c r="J199" s="7"/>
      <c r="K199" s="9"/>
    </row>
    <row r="200" spans="1:11" ht="11.25">
      <c r="A200" s="23"/>
      <c r="B200" s="12"/>
      <c r="C200" s="75" t="s">
        <v>9</v>
      </c>
      <c r="D200" s="75" t="s">
        <v>10</v>
      </c>
      <c r="E200" s="75" t="s">
        <v>10</v>
      </c>
      <c r="F200" s="76" t="s">
        <v>9</v>
      </c>
      <c r="G200" s="75" t="s">
        <v>10</v>
      </c>
      <c r="H200" s="77" t="s">
        <v>10</v>
      </c>
      <c r="I200" s="7"/>
      <c r="J200" s="7"/>
      <c r="K200" s="9"/>
    </row>
    <row r="201" spans="1:11" ht="3" customHeight="1">
      <c r="A201" s="13"/>
      <c r="B201" s="2"/>
      <c r="C201" s="13"/>
      <c r="D201" s="36"/>
      <c r="E201" s="36"/>
      <c r="F201" s="13"/>
      <c r="G201" s="36"/>
      <c r="H201" s="43"/>
      <c r="I201" s="7"/>
      <c r="J201" s="7"/>
      <c r="K201" s="9"/>
    </row>
    <row r="202" spans="1:11" ht="11.25">
      <c r="A202" s="18"/>
      <c r="B202" s="7"/>
      <c r="C202" s="18"/>
      <c r="D202" s="49"/>
      <c r="E202" s="49"/>
      <c r="F202" s="18"/>
      <c r="G202" s="49"/>
      <c r="H202" s="50"/>
      <c r="I202" s="7"/>
      <c r="J202" s="7"/>
      <c r="K202" s="9"/>
    </row>
    <row r="203" spans="1:11" ht="34.5" customHeight="1">
      <c r="A203" s="23"/>
      <c r="B203" s="11"/>
      <c r="C203" s="23">
        <f>SUM(C187:C188)</f>
        <v>177</v>
      </c>
      <c r="D203" s="59">
        <v>1</v>
      </c>
      <c r="E203" s="59"/>
      <c r="F203" s="23">
        <f>SUM(F187:F188)</f>
        <v>379</v>
      </c>
      <c r="G203" s="59">
        <v>1</v>
      </c>
      <c r="H203" s="81"/>
      <c r="I203" s="18"/>
      <c r="J203" s="7"/>
      <c r="K203" s="9"/>
    </row>
    <row r="204" spans="1:11" ht="11.25">
      <c r="A204" s="18" t="str">
        <f>"2."</f>
        <v>2.</v>
      </c>
      <c r="B204" s="7" t="s">
        <v>21</v>
      </c>
      <c r="C204" s="18"/>
      <c r="D204" s="49"/>
      <c r="E204" s="49"/>
      <c r="F204" s="18"/>
      <c r="G204" s="49"/>
      <c r="H204" s="50"/>
      <c r="I204" s="7"/>
      <c r="J204" s="7"/>
      <c r="K204" s="9"/>
    </row>
    <row r="205" spans="1:11" ht="10.5" customHeight="1">
      <c r="A205" s="18"/>
      <c r="B205" s="7" t="s">
        <v>22</v>
      </c>
      <c r="C205" s="18">
        <v>104</v>
      </c>
      <c r="D205" s="49">
        <f>C205/totalm1</f>
        <v>0.5875706214689266</v>
      </c>
      <c r="E205" s="49">
        <f>C205/(totalm1-q2nm)</f>
        <v>0.6265060240963856</v>
      </c>
      <c r="F205" s="18">
        <v>238</v>
      </c>
      <c r="G205" s="49">
        <f>F205/totalf1</f>
        <v>0.6279683377308707</v>
      </c>
      <c r="H205" s="50">
        <f>F205/(totalf1-q2nf)</f>
        <v>0.6878612716763006</v>
      </c>
      <c r="I205" s="7"/>
      <c r="J205" s="7"/>
      <c r="K205" s="9"/>
    </row>
    <row r="206" spans="1:11" ht="10.5" customHeight="1">
      <c r="A206" s="18"/>
      <c r="B206" s="7" t="s">
        <v>23</v>
      </c>
      <c r="C206" s="18">
        <v>48</v>
      </c>
      <c r="D206" s="49">
        <f>C206/totalm1</f>
        <v>0.2711864406779661</v>
      </c>
      <c r="E206" s="49">
        <f>C206/(totalm1-q2nm)</f>
        <v>0.2891566265060241</v>
      </c>
      <c r="F206" s="18">
        <v>82</v>
      </c>
      <c r="G206" s="49">
        <f>F206/totalf1</f>
        <v>0.21635883905013192</v>
      </c>
      <c r="H206" s="50">
        <f>F206/(totalf1-q2nf)</f>
        <v>0.23699421965317918</v>
      </c>
      <c r="I206" s="7"/>
      <c r="J206" s="7"/>
      <c r="K206" s="9"/>
    </row>
    <row r="207" spans="1:11" ht="10.5" customHeight="1">
      <c r="A207" s="18"/>
      <c r="B207" s="7" t="s">
        <v>24</v>
      </c>
      <c r="C207" s="18">
        <v>14</v>
      </c>
      <c r="D207" s="49">
        <f>C207/totalm1</f>
        <v>0.07909604519774012</v>
      </c>
      <c r="E207" s="49">
        <f>C207/(totalm1-q2nm)</f>
        <v>0.08433734939759036</v>
      </c>
      <c r="F207" s="18">
        <v>26</v>
      </c>
      <c r="G207" s="49">
        <f>F207/totalf1</f>
        <v>0.06860158311345646</v>
      </c>
      <c r="H207" s="50">
        <f>F207/(totalf1-q2nf)</f>
        <v>0.07514450867052024</v>
      </c>
      <c r="I207" s="7"/>
      <c r="J207" s="7"/>
      <c r="K207" s="9"/>
    </row>
    <row r="208" spans="1:11" ht="10.5" customHeight="1">
      <c r="A208" s="23"/>
      <c r="B208" s="11" t="s">
        <v>18</v>
      </c>
      <c r="C208" s="23">
        <v>11</v>
      </c>
      <c r="D208" s="59">
        <f>C208/totalm1</f>
        <v>0.062146892655367235</v>
      </c>
      <c r="E208" s="78" t="s">
        <v>19</v>
      </c>
      <c r="F208" s="23">
        <v>33</v>
      </c>
      <c r="G208" s="59">
        <f>F208/totalf1</f>
        <v>0.0870712401055409</v>
      </c>
      <c r="H208" s="79" t="s">
        <v>19</v>
      </c>
      <c r="I208" s="7"/>
      <c r="J208" s="7"/>
      <c r="K208" s="9"/>
    </row>
    <row r="209" spans="1:11" ht="11.25">
      <c r="A209" s="18" t="str">
        <f>"3."</f>
        <v>3.</v>
      </c>
      <c r="B209" s="7" t="s">
        <v>25</v>
      </c>
      <c r="C209" s="18"/>
      <c r="D209" s="49"/>
      <c r="E209" s="49"/>
      <c r="F209" s="18"/>
      <c r="G209" s="49"/>
      <c r="H209" s="50">
        <f>SUM(H205:H208)</f>
        <v>1</v>
      </c>
      <c r="I209" s="18"/>
      <c r="J209" s="7"/>
      <c r="K209" s="9"/>
    </row>
    <row r="210" spans="1:11" ht="11.25">
      <c r="A210" s="18"/>
      <c r="B210" s="7" t="s">
        <v>26</v>
      </c>
      <c r="C210" s="18">
        <v>10</v>
      </c>
      <c r="D210" s="49">
        <f aca="true" t="shared" si="14" ref="D210:D220">C210/totalm1</f>
        <v>0.05649717514124294</v>
      </c>
      <c r="E210" s="49">
        <f aca="true" t="shared" si="15" ref="E210:E219">C210/(totalm1-q3nm)</f>
        <v>0.05649717514124294</v>
      </c>
      <c r="F210" s="18">
        <v>9</v>
      </c>
      <c r="G210" s="49">
        <f aca="true" t="shared" si="16" ref="G210:G220">F210/totalf1</f>
        <v>0.023746701846965697</v>
      </c>
      <c r="H210" s="50">
        <f aca="true" t="shared" si="17" ref="H210:H219">F210/(totalf1-q3nf)</f>
        <v>0.023809523809523808</v>
      </c>
      <c r="I210" s="18"/>
      <c r="J210" s="7"/>
      <c r="K210" s="9"/>
    </row>
    <row r="211" spans="1:11" ht="11.25">
      <c r="A211" s="18"/>
      <c r="B211" s="7" t="s">
        <v>27</v>
      </c>
      <c r="C211" s="18">
        <v>76</v>
      </c>
      <c r="D211" s="49">
        <f t="shared" si="14"/>
        <v>0.4293785310734463</v>
      </c>
      <c r="E211" s="49">
        <f t="shared" si="15"/>
        <v>0.4293785310734463</v>
      </c>
      <c r="F211" s="18">
        <v>110</v>
      </c>
      <c r="G211" s="49">
        <f t="shared" si="16"/>
        <v>0.29023746701846964</v>
      </c>
      <c r="H211" s="50">
        <f t="shared" si="17"/>
        <v>0.291005291005291</v>
      </c>
      <c r="I211" s="18"/>
      <c r="J211" s="7"/>
      <c r="K211" s="9"/>
    </row>
    <row r="212" spans="1:11" ht="11.25">
      <c r="A212" s="18"/>
      <c r="B212" s="7" t="s">
        <v>28</v>
      </c>
      <c r="C212" s="18">
        <v>19</v>
      </c>
      <c r="D212" s="49">
        <f t="shared" si="14"/>
        <v>0.10734463276836158</v>
      </c>
      <c r="E212" s="49">
        <f t="shared" si="15"/>
        <v>0.10734463276836158</v>
      </c>
      <c r="F212" s="18">
        <v>12</v>
      </c>
      <c r="G212" s="49">
        <f t="shared" si="16"/>
        <v>0.0316622691292876</v>
      </c>
      <c r="H212" s="50">
        <f t="shared" si="17"/>
        <v>0.031746031746031744</v>
      </c>
      <c r="I212" s="18"/>
      <c r="J212" s="7"/>
      <c r="K212" s="9"/>
    </row>
    <row r="213" spans="1:11" ht="11.25">
      <c r="A213" s="18"/>
      <c r="B213" s="7" t="s">
        <v>29</v>
      </c>
      <c r="C213" s="18">
        <v>18</v>
      </c>
      <c r="D213" s="49">
        <f t="shared" si="14"/>
        <v>0.1016949152542373</v>
      </c>
      <c r="E213" s="49">
        <f t="shared" si="15"/>
        <v>0.1016949152542373</v>
      </c>
      <c r="F213" s="18">
        <v>26</v>
      </c>
      <c r="G213" s="49">
        <f t="shared" si="16"/>
        <v>0.06860158311345646</v>
      </c>
      <c r="H213" s="50">
        <f t="shared" si="17"/>
        <v>0.06878306878306878</v>
      </c>
      <c r="I213" s="18"/>
      <c r="J213" s="7"/>
      <c r="K213" s="9"/>
    </row>
    <row r="214" spans="1:11" ht="11.25">
      <c r="A214" s="18"/>
      <c r="B214" s="7" t="s">
        <v>30</v>
      </c>
      <c r="C214" s="18">
        <v>13</v>
      </c>
      <c r="D214" s="49">
        <f t="shared" si="14"/>
        <v>0.07344632768361582</v>
      </c>
      <c r="E214" s="49">
        <f t="shared" si="15"/>
        <v>0.07344632768361582</v>
      </c>
      <c r="F214" s="18">
        <v>87</v>
      </c>
      <c r="G214" s="49">
        <f t="shared" si="16"/>
        <v>0.22955145118733508</v>
      </c>
      <c r="H214" s="50">
        <f t="shared" si="17"/>
        <v>0.23015873015873015</v>
      </c>
      <c r="I214" s="18"/>
      <c r="J214" s="7"/>
      <c r="K214" s="9"/>
    </row>
    <row r="215" spans="1:11" ht="11.25">
      <c r="A215" s="18"/>
      <c r="B215" s="7" t="s">
        <v>31</v>
      </c>
      <c r="C215" s="18">
        <v>8</v>
      </c>
      <c r="D215" s="49">
        <f t="shared" si="14"/>
        <v>0.04519774011299435</v>
      </c>
      <c r="E215" s="49">
        <f t="shared" si="15"/>
        <v>0.04519774011299435</v>
      </c>
      <c r="F215" s="18">
        <v>70</v>
      </c>
      <c r="G215" s="49">
        <f t="shared" si="16"/>
        <v>0.18469656992084432</v>
      </c>
      <c r="H215" s="50">
        <f t="shared" si="17"/>
        <v>0.18518518518518517</v>
      </c>
      <c r="I215" s="18"/>
      <c r="J215" s="7"/>
      <c r="K215" s="9"/>
    </row>
    <row r="216" spans="1:11" ht="11.25">
      <c r="A216" s="18"/>
      <c r="B216" s="7" t="s">
        <v>32</v>
      </c>
      <c r="C216" s="18">
        <v>18</v>
      </c>
      <c r="D216" s="49">
        <f t="shared" si="14"/>
        <v>0.1016949152542373</v>
      </c>
      <c r="E216" s="49">
        <f t="shared" si="15"/>
        <v>0.1016949152542373</v>
      </c>
      <c r="F216" s="18">
        <v>17</v>
      </c>
      <c r="G216" s="49">
        <f t="shared" si="16"/>
        <v>0.044854881266490766</v>
      </c>
      <c r="H216" s="50">
        <f t="shared" si="17"/>
        <v>0.04497354497354497</v>
      </c>
      <c r="I216" s="18"/>
      <c r="J216" s="7"/>
      <c r="K216" s="9"/>
    </row>
    <row r="217" spans="1:11" ht="11.25">
      <c r="A217" s="18"/>
      <c r="B217" s="7" t="s">
        <v>33</v>
      </c>
      <c r="C217" s="18">
        <v>3</v>
      </c>
      <c r="D217" s="49">
        <f t="shared" si="14"/>
        <v>0.01694915254237288</v>
      </c>
      <c r="E217" s="49">
        <f t="shared" si="15"/>
        <v>0.01694915254237288</v>
      </c>
      <c r="F217" s="18">
        <v>3</v>
      </c>
      <c r="G217" s="49">
        <f t="shared" si="16"/>
        <v>0.0079155672823219</v>
      </c>
      <c r="H217" s="50">
        <f t="shared" si="17"/>
        <v>0.007936507936507936</v>
      </c>
      <c r="I217" s="18"/>
      <c r="J217" s="7"/>
      <c r="K217" s="9"/>
    </row>
    <row r="218" spans="1:11" ht="11.25">
      <c r="A218" s="18"/>
      <c r="B218" s="7" t="s">
        <v>162</v>
      </c>
      <c r="C218" s="18">
        <v>6</v>
      </c>
      <c r="D218" s="49">
        <f t="shared" si="14"/>
        <v>0.03389830508474576</v>
      </c>
      <c r="E218" s="49">
        <f t="shared" si="15"/>
        <v>0.03389830508474576</v>
      </c>
      <c r="F218" s="18">
        <v>21</v>
      </c>
      <c r="G218" s="49">
        <f t="shared" si="16"/>
        <v>0.055408970976253295</v>
      </c>
      <c r="H218" s="50">
        <f t="shared" si="17"/>
        <v>0.05555555555555555</v>
      </c>
      <c r="I218" s="18"/>
      <c r="J218" s="7"/>
      <c r="K218" s="9"/>
    </row>
    <row r="219" spans="1:11" ht="11.25">
      <c r="A219" s="18"/>
      <c r="B219" s="7" t="s">
        <v>24</v>
      </c>
      <c r="C219" s="18">
        <v>6</v>
      </c>
      <c r="D219" s="49">
        <f t="shared" si="14"/>
        <v>0.03389830508474576</v>
      </c>
      <c r="E219" s="49">
        <f t="shared" si="15"/>
        <v>0.03389830508474576</v>
      </c>
      <c r="F219" s="18">
        <v>23</v>
      </c>
      <c r="G219" s="49">
        <f t="shared" si="16"/>
        <v>0.06068601583113457</v>
      </c>
      <c r="H219" s="50">
        <f t="shared" si="17"/>
        <v>0.06084656084656084</v>
      </c>
      <c r="I219" s="18"/>
      <c r="J219" s="7"/>
      <c r="K219" s="9"/>
    </row>
    <row r="220" spans="1:11" ht="11.25">
      <c r="A220" s="23"/>
      <c r="B220" s="11" t="s">
        <v>18</v>
      </c>
      <c r="C220" s="23">
        <v>0</v>
      </c>
      <c r="D220" s="59">
        <f t="shared" si="14"/>
        <v>0</v>
      </c>
      <c r="E220" s="78" t="s">
        <v>19</v>
      </c>
      <c r="F220" s="23">
        <v>1</v>
      </c>
      <c r="G220" s="59">
        <f t="shared" si="16"/>
        <v>0.002638522427440633</v>
      </c>
      <c r="H220" s="79" t="s">
        <v>19</v>
      </c>
      <c r="I220" s="18"/>
      <c r="J220" s="7"/>
      <c r="K220" s="9"/>
    </row>
    <row r="221" spans="1:11" ht="11.25">
      <c r="A221" s="18" t="s">
        <v>35</v>
      </c>
      <c r="B221" s="7" t="s">
        <v>36</v>
      </c>
      <c r="C221" s="18"/>
      <c r="D221" s="49"/>
      <c r="E221" s="49"/>
      <c r="F221" s="18"/>
      <c r="G221" s="49"/>
      <c r="H221" s="50"/>
      <c r="I221" s="18"/>
      <c r="J221" s="7"/>
      <c r="K221" s="9"/>
    </row>
    <row r="222" spans="1:11" ht="11.25">
      <c r="A222" s="18"/>
      <c r="B222" s="7" t="s">
        <v>163</v>
      </c>
      <c r="C222" s="18">
        <v>48</v>
      </c>
      <c r="D222" s="49">
        <f aca="true" t="shared" si="18" ref="D222:D228">C222/totalm1</f>
        <v>0.2711864406779661</v>
      </c>
      <c r="E222" s="49">
        <f aca="true" t="shared" si="19" ref="E222:E227">C222/(totalm1-q4nm)</f>
        <v>0.2742857142857143</v>
      </c>
      <c r="F222" s="18">
        <v>111</v>
      </c>
      <c r="G222" s="49">
        <f aca="true" t="shared" si="20" ref="G222:G228">F222/totalf1</f>
        <v>0.2928759894459103</v>
      </c>
      <c r="H222" s="50">
        <f aca="true" t="shared" si="21" ref="H222:H227">F222/(totalf1-q4nf)</f>
        <v>0.29365079365079366</v>
      </c>
      <c r="I222" s="18"/>
      <c r="J222" s="7"/>
      <c r="K222" s="9"/>
    </row>
    <row r="223" spans="1:11" ht="11.25">
      <c r="A223" s="18"/>
      <c r="B223" s="7" t="s">
        <v>164</v>
      </c>
      <c r="C223" s="18">
        <v>73</v>
      </c>
      <c r="D223" s="49">
        <f t="shared" si="18"/>
        <v>0.4124293785310734</v>
      </c>
      <c r="E223" s="49">
        <f t="shared" si="19"/>
        <v>0.41714285714285715</v>
      </c>
      <c r="F223" s="18">
        <v>130</v>
      </c>
      <c r="G223" s="49">
        <f t="shared" si="20"/>
        <v>0.34300791556728233</v>
      </c>
      <c r="H223" s="50">
        <f t="shared" si="21"/>
        <v>0.3439153439153439</v>
      </c>
      <c r="I223" s="18"/>
      <c r="J223" s="7"/>
      <c r="K223" s="9"/>
    </row>
    <row r="224" spans="1:11" ht="11.25">
      <c r="A224" s="18"/>
      <c r="B224" s="7" t="s">
        <v>165</v>
      </c>
      <c r="C224" s="18">
        <v>34</v>
      </c>
      <c r="D224" s="49">
        <f t="shared" si="18"/>
        <v>0.192090395480226</v>
      </c>
      <c r="E224" s="49">
        <f t="shared" si="19"/>
        <v>0.19428571428571428</v>
      </c>
      <c r="F224" s="18">
        <v>79</v>
      </c>
      <c r="G224" s="49">
        <f t="shared" si="20"/>
        <v>0.20844327176781002</v>
      </c>
      <c r="H224" s="50">
        <f t="shared" si="21"/>
        <v>0.20899470899470898</v>
      </c>
      <c r="I224" s="18"/>
      <c r="J224" s="7"/>
      <c r="K224" s="9"/>
    </row>
    <row r="225" spans="1:11" ht="11.25">
      <c r="A225" s="18"/>
      <c r="B225" s="7" t="s">
        <v>166</v>
      </c>
      <c r="C225" s="18">
        <v>8</v>
      </c>
      <c r="D225" s="49">
        <f t="shared" si="18"/>
        <v>0.04519774011299435</v>
      </c>
      <c r="E225" s="49">
        <f t="shared" si="19"/>
        <v>0.045714285714285714</v>
      </c>
      <c r="F225" s="18">
        <v>28</v>
      </c>
      <c r="G225" s="49">
        <f t="shared" si="20"/>
        <v>0.07387862796833773</v>
      </c>
      <c r="H225" s="50">
        <f t="shared" si="21"/>
        <v>0.07407407407407407</v>
      </c>
      <c r="I225" s="18"/>
      <c r="J225" s="7"/>
      <c r="K225" s="9"/>
    </row>
    <row r="226" spans="1:11" ht="11.25">
      <c r="A226" s="18"/>
      <c r="B226" s="7" t="s">
        <v>167</v>
      </c>
      <c r="C226" s="18">
        <v>6</v>
      </c>
      <c r="D226" s="49">
        <f t="shared" si="18"/>
        <v>0.03389830508474576</v>
      </c>
      <c r="E226" s="49">
        <f t="shared" si="19"/>
        <v>0.03428571428571429</v>
      </c>
      <c r="F226" s="18">
        <v>23</v>
      </c>
      <c r="G226" s="49">
        <f t="shared" si="20"/>
        <v>0.06068601583113457</v>
      </c>
      <c r="H226" s="50">
        <f t="shared" si="21"/>
        <v>0.06084656084656084</v>
      </c>
      <c r="I226" s="18"/>
      <c r="J226" s="7"/>
      <c r="K226" s="9"/>
    </row>
    <row r="227" spans="1:11" ht="11.25">
      <c r="A227" s="18"/>
      <c r="B227" s="7" t="s">
        <v>168</v>
      </c>
      <c r="C227" s="18">
        <v>6</v>
      </c>
      <c r="D227" s="49">
        <f t="shared" si="18"/>
        <v>0.03389830508474576</v>
      </c>
      <c r="E227" s="49">
        <f t="shared" si="19"/>
        <v>0.03428571428571429</v>
      </c>
      <c r="F227" s="18">
        <v>7</v>
      </c>
      <c r="G227" s="49">
        <f t="shared" si="20"/>
        <v>0.018469656992084433</v>
      </c>
      <c r="H227" s="50">
        <f t="shared" si="21"/>
        <v>0.018518518518518517</v>
      </c>
      <c r="I227" s="18"/>
      <c r="J227" s="7"/>
      <c r="K227" s="9"/>
    </row>
    <row r="228" spans="1:11" ht="11.25">
      <c r="A228" s="23"/>
      <c r="B228" s="11" t="s">
        <v>160</v>
      </c>
      <c r="C228" s="23">
        <v>2</v>
      </c>
      <c r="D228" s="59">
        <f t="shared" si="18"/>
        <v>0.011299435028248588</v>
      </c>
      <c r="E228" s="78" t="s">
        <v>19</v>
      </c>
      <c r="F228" s="23">
        <v>1</v>
      </c>
      <c r="G228" s="59">
        <f t="shared" si="20"/>
        <v>0.002638522427440633</v>
      </c>
      <c r="H228" s="79" t="s">
        <v>19</v>
      </c>
      <c r="I228" s="18"/>
      <c r="J228" s="7"/>
      <c r="K228" s="9"/>
    </row>
    <row r="229" spans="1:11" ht="11.25">
      <c r="A229" s="18" t="s">
        <v>45</v>
      </c>
      <c r="B229" s="7" t="s">
        <v>46</v>
      </c>
      <c r="C229" s="18"/>
      <c r="D229" s="49"/>
      <c r="E229" s="49"/>
      <c r="F229" s="18"/>
      <c r="G229" s="49"/>
      <c r="H229" s="50"/>
      <c r="I229" s="18"/>
      <c r="J229" s="7"/>
      <c r="K229" s="9"/>
    </row>
    <row r="230" spans="1:11" ht="11.25">
      <c r="A230" s="18"/>
      <c r="B230" s="37" t="s">
        <v>47</v>
      </c>
      <c r="C230" s="18">
        <v>73</v>
      </c>
      <c r="D230" s="49">
        <f aca="true" t="shared" si="22" ref="D230:D235">C230/totalm1</f>
        <v>0.4124293785310734</v>
      </c>
      <c r="E230" s="49">
        <f>C230/(totalm1-q5nm)</f>
        <v>0.41954022988505746</v>
      </c>
      <c r="F230" s="18">
        <v>178</v>
      </c>
      <c r="G230" s="49">
        <f aca="true" t="shared" si="23" ref="G230:G235">F230/totalf1</f>
        <v>0.46965699208443273</v>
      </c>
      <c r="H230" s="50">
        <f>F230/(totalf1-q5nf)</f>
        <v>0.4708994708994709</v>
      </c>
      <c r="I230" s="18"/>
      <c r="J230" s="7"/>
      <c r="K230" s="9"/>
    </row>
    <row r="231" spans="1:11" ht="11.25">
      <c r="A231" s="18"/>
      <c r="B231" s="7" t="s">
        <v>48</v>
      </c>
      <c r="C231" s="18">
        <v>56</v>
      </c>
      <c r="D231" s="49">
        <f t="shared" si="22"/>
        <v>0.3163841807909605</v>
      </c>
      <c r="E231" s="49">
        <f>C231/(totalm1-q5nm)</f>
        <v>0.3218390804597701</v>
      </c>
      <c r="F231" s="18">
        <v>111</v>
      </c>
      <c r="G231" s="49">
        <f t="shared" si="23"/>
        <v>0.2928759894459103</v>
      </c>
      <c r="H231" s="50">
        <f>F231/(totalf1-q5nf)</f>
        <v>0.29365079365079366</v>
      </c>
      <c r="I231" s="18"/>
      <c r="J231" s="7"/>
      <c r="K231" s="9"/>
    </row>
    <row r="232" spans="1:11" ht="11.25">
      <c r="A232" s="18"/>
      <c r="B232" s="7" t="s">
        <v>49</v>
      </c>
      <c r="C232" s="18">
        <v>4</v>
      </c>
      <c r="D232" s="49">
        <f t="shared" si="22"/>
        <v>0.022598870056497175</v>
      </c>
      <c r="E232" s="49">
        <f>C232/(totalm1-q5nm)</f>
        <v>0.022988505747126436</v>
      </c>
      <c r="F232" s="18">
        <v>0</v>
      </c>
      <c r="G232" s="49">
        <f t="shared" si="23"/>
        <v>0</v>
      </c>
      <c r="H232" s="50">
        <f>F232/(totalf1-q5nf)</f>
        <v>0</v>
      </c>
      <c r="I232" s="18"/>
      <c r="J232" s="7"/>
      <c r="K232" s="9"/>
    </row>
    <row r="233" spans="1:11" ht="11.25">
      <c r="A233" s="18"/>
      <c r="B233" s="9" t="s">
        <v>50</v>
      </c>
      <c r="C233" s="7">
        <v>14</v>
      </c>
      <c r="D233" s="49">
        <f t="shared" si="22"/>
        <v>0.07909604519774012</v>
      </c>
      <c r="E233" s="50">
        <f>C233/(totalm1-q5nm)</f>
        <v>0.08045977011494253</v>
      </c>
      <c r="F233" s="7">
        <v>38</v>
      </c>
      <c r="G233" s="49">
        <f t="shared" si="23"/>
        <v>0.10026385224274406</v>
      </c>
      <c r="H233" s="50">
        <f>F233/(totalf1-q5nf)</f>
        <v>0.10052910052910052</v>
      </c>
      <c r="I233" s="18"/>
      <c r="J233" s="7"/>
      <c r="K233" s="9"/>
    </row>
    <row r="234" spans="1:11" ht="11.25">
      <c r="A234" s="18" t="s">
        <v>20</v>
      </c>
      <c r="B234" s="38" t="s">
        <v>51</v>
      </c>
      <c r="C234" s="39">
        <v>27</v>
      </c>
      <c r="D234" s="49">
        <f t="shared" si="22"/>
        <v>0.15254237288135594</v>
      </c>
      <c r="E234" s="49">
        <f>C234/(totalm1-q5nm)</f>
        <v>0.15517241379310345</v>
      </c>
      <c r="F234" s="39">
        <v>51</v>
      </c>
      <c r="G234" s="49">
        <f t="shared" si="23"/>
        <v>0.1345646437994723</v>
      </c>
      <c r="H234" s="50">
        <f>F234/(totalf1-q5nf)</f>
        <v>0.1349206349206349</v>
      </c>
      <c r="I234" s="18"/>
      <c r="J234" s="7"/>
      <c r="K234" s="9"/>
    </row>
    <row r="235" spans="1:11" ht="11.25">
      <c r="A235" s="23"/>
      <c r="B235" s="40" t="s">
        <v>18</v>
      </c>
      <c r="C235" s="23">
        <v>3</v>
      </c>
      <c r="D235" s="59">
        <f t="shared" si="22"/>
        <v>0.01694915254237288</v>
      </c>
      <c r="E235" s="78" t="s">
        <v>19</v>
      </c>
      <c r="F235" s="46">
        <v>1</v>
      </c>
      <c r="G235" s="59">
        <f t="shared" si="23"/>
        <v>0.002638522427440633</v>
      </c>
      <c r="H235" s="79" t="s">
        <v>19</v>
      </c>
      <c r="I235" s="23"/>
      <c r="J235" s="11"/>
      <c r="K235" s="12"/>
    </row>
    <row r="236" spans="1:11" ht="63" customHeight="1">
      <c r="A236" s="2"/>
      <c r="B236" s="2"/>
      <c r="C236" s="2"/>
      <c r="D236" s="36"/>
      <c r="E236" s="82"/>
      <c r="F236" s="2"/>
      <c r="G236" s="36"/>
      <c r="H236" s="82"/>
      <c r="I236" s="2"/>
      <c r="J236" s="2"/>
      <c r="K236" s="2"/>
    </row>
    <row r="237" spans="1:11" ht="12.75">
      <c r="A237" s="1" t="s">
        <v>0</v>
      </c>
      <c r="B237" s="2"/>
      <c r="C237" s="3"/>
      <c r="D237" s="3"/>
      <c r="E237" s="2"/>
      <c r="F237" s="2"/>
      <c r="G237" s="36"/>
      <c r="H237" s="36"/>
      <c r="I237" s="2"/>
      <c r="J237" s="2"/>
      <c r="K237" s="4" t="s">
        <v>169</v>
      </c>
    </row>
    <row r="238" spans="1:11" ht="12.75">
      <c r="A238" s="6" t="s">
        <v>2</v>
      </c>
      <c r="B238" s="7"/>
      <c r="C238" s="8"/>
      <c r="D238" s="8"/>
      <c r="E238" s="7"/>
      <c r="F238" s="7"/>
      <c r="G238" s="49"/>
      <c r="H238" s="49"/>
      <c r="I238" s="7"/>
      <c r="J238" s="7"/>
      <c r="K238" s="9"/>
    </row>
    <row r="239" spans="1:11" ht="12.75">
      <c r="A239" s="6" t="s">
        <v>3</v>
      </c>
      <c r="B239" s="7"/>
      <c r="C239" s="8"/>
      <c r="D239" s="8"/>
      <c r="E239" s="7"/>
      <c r="F239" s="7"/>
      <c r="G239" s="49"/>
      <c r="H239" s="49"/>
      <c r="I239" s="7"/>
      <c r="J239" s="7"/>
      <c r="K239" s="9"/>
    </row>
    <row r="240" spans="1:11" ht="15" customHeight="1">
      <c r="A240" s="57" t="s">
        <v>4</v>
      </c>
      <c r="B240" s="11"/>
      <c r="C240" s="11"/>
      <c r="D240" s="11"/>
      <c r="E240" s="11"/>
      <c r="F240" s="11"/>
      <c r="G240" s="59"/>
      <c r="H240" s="59"/>
      <c r="I240" s="11"/>
      <c r="J240" s="11"/>
      <c r="K240" s="12"/>
    </row>
    <row r="241" spans="1:11" ht="12.75">
      <c r="A241" s="13"/>
      <c r="B241" s="2"/>
      <c r="C241" s="66" t="s">
        <v>153</v>
      </c>
      <c r="D241" s="67"/>
      <c r="E241" s="67"/>
      <c r="F241" s="66" t="s">
        <v>154</v>
      </c>
      <c r="G241" s="68"/>
      <c r="H241" s="69"/>
      <c r="I241" s="7"/>
      <c r="J241" s="7"/>
      <c r="K241" s="9"/>
    </row>
    <row r="242" spans="1:11" ht="11.25">
      <c r="A242" s="18"/>
      <c r="B242" s="9"/>
      <c r="C242" s="70"/>
      <c r="D242" s="71" t="s">
        <v>5</v>
      </c>
      <c r="E242" s="71" t="s">
        <v>5</v>
      </c>
      <c r="F242" s="72"/>
      <c r="G242" s="71" t="s">
        <v>5</v>
      </c>
      <c r="H242" s="73" t="s">
        <v>5</v>
      </c>
      <c r="I242" s="7"/>
      <c r="J242" s="7"/>
      <c r="K242" s="9"/>
    </row>
    <row r="243" spans="1:11" ht="12.75">
      <c r="A243" s="74" t="s">
        <v>155</v>
      </c>
      <c r="B243" s="9"/>
      <c r="C243" s="70"/>
      <c r="D243" s="71" t="s">
        <v>7</v>
      </c>
      <c r="E243" s="71" t="s">
        <v>8</v>
      </c>
      <c r="F243" s="72"/>
      <c r="G243" s="71" t="s">
        <v>7</v>
      </c>
      <c r="H243" s="73" t="s">
        <v>8</v>
      </c>
      <c r="I243" s="7"/>
      <c r="J243" s="7"/>
      <c r="K243" s="9"/>
    </row>
    <row r="244" spans="1:11" ht="11.25">
      <c r="A244" s="23"/>
      <c r="B244" s="12"/>
      <c r="C244" s="75" t="s">
        <v>9</v>
      </c>
      <c r="D244" s="75" t="s">
        <v>10</v>
      </c>
      <c r="E244" s="75" t="s">
        <v>10</v>
      </c>
      <c r="F244" s="76" t="s">
        <v>9</v>
      </c>
      <c r="G244" s="75" t="s">
        <v>10</v>
      </c>
      <c r="H244" s="77" t="s">
        <v>10</v>
      </c>
      <c r="I244" s="7"/>
      <c r="J244" s="7"/>
      <c r="K244" s="9"/>
    </row>
    <row r="245" spans="1:11" ht="11.25">
      <c r="A245" s="13" t="str">
        <f>"6."</f>
        <v>6.</v>
      </c>
      <c r="B245" s="42" t="s">
        <v>52</v>
      </c>
      <c r="C245" s="18"/>
      <c r="D245" s="28"/>
      <c r="E245" s="28"/>
      <c r="F245" s="18"/>
      <c r="G245" s="28"/>
      <c r="H245" s="29"/>
      <c r="I245" s="18"/>
      <c r="J245" s="7"/>
      <c r="K245" s="9"/>
    </row>
    <row r="246" spans="1:11" ht="11.25">
      <c r="A246" s="18"/>
      <c r="B246" s="44" t="s">
        <v>53</v>
      </c>
      <c r="C246" s="18">
        <v>52</v>
      </c>
      <c r="D246" s="28">
        <f aca="true" t="shared" si="24" ref="D246:D254">C246/totalm1</f>
        <v>0.2937853107344633</v>
      </c>
      <c r="E246" s="28">
        <f aca="true" t="shared" si="25" ref="E246:E253">C246/(totalm1-q6nm)</f>
        <v>0.29545454545454547</v>
      </c>
      <c r="F246" s="18">
        <v>102</v>
      </c>
      <c r="G246" s="28">
        <f aca="true" t="shared" si="26" ref="G246:G254">F246/totalf1</f>
        <v>0.2691292875989446</v>
      </c>
      <c r="H246" s="29">
        <f aca="true" t="shared" si="27" ref="H246:H253">F246/(totalf1-q6nf)</f>
        <v>0.2712765957446808</v>
      </c>
      <c r="I246" s="18"/>
      <c r="J246" s="7"/>
      <c r="K246" s="9"/>
    </row>
    <row r="247" spans="1:11" ht="11.25">
      <c r="A247" s="18"/>
      <c r="B247" s="44" t="s">
        <v>54</v>
      </c>
      <c r="C247" s="18">
        <v>47</v>
      </c>
      <c r="D247" s="28">
        <f t="shared" si="24"/>
        <v>0.2655367231638418</v>
      </c>
      <c r="E247" s="28">
        <f t="shared" si="25"/>
        <v>0.26704545454545453</v>
      </c>
      <c r="F247" s="18">
        <v>75</v>
      </c>
      <c r="G247" s="28">
        <f t="shared" si="26"/>
        <v>0.19788918205804748</v>
      </c>
      <c r="H247" s="29">
        <f t="shared" si="27"/>
        <v>0.19946808510638298</v>
      </c>
      <c r="I247" s="18"/>
      <c r="J247" s="7"/>
      <c r="K247" s="9"/>
    </row>
    <row r="248" spans="1:11" ht="11.25">
      <c r="A248" s="18"/>
      <c r="B248" s="45" t="s">
        <v>209</v>
      </c>
      <c r="C248" s="18">
        <v>0</v>
      </c>
      <c r="D248" s="28">
        <f t="shared" si="24"/>
        <v>0</v>
      </c>
      <c r="E248" s="28">
        <f t="shared" si="25"/>
        <v>0</v>
      </c>
      <c r="F248" s="18">
        <v>4</v>
      </c>
      <c r="G248" s="28">
        <f t="shared" si="26"/>
        <v>0.010554089709762533</v>
      </c>
      <c r="H248" s="29">
        <f t="shared" si="27"/>
        <v>0.010638297872340425</v>
      </c>
      <c r="I248" s="18"/>
      <c r="J248" s="7"/>
      <c r="K248" s="9"/>
    </row>
    <row r="249" spans="1:11" ht="11.25">
      <c r="A249" s="18"/>
      <c r="B249" s="45" t="s">
        <v>55</v>
      </c>
      <c r="C249" s="7">
        <v>14</v>
      </c>
      <c r="D249" s="28">
        <f t="shared" si="24"/>
        <v>0.07909604519774012</v>
      </c>
      <c r="E249" s="29">
        <f t="shared" si="25"/>
        <v>0.07954545454545454</v>
      </c>
      <c r="F249" s="7">
        <v>26</v>
      </c>
      <c r="G249" s="28">
        <f t="shared" si="26"/>
        <v>0.06860158311345646</v>
      </c>
      <c r="H249" s="29">
        <f t="shared" si="27"/>
        <v>0.06914893617021277</v>
      </c>
      <c r="I249" s="18"/>
      <c r="J249" s="7"/>
      <c r="K249" s="9"/>
    </row>
    <row r="250" spans="1:11" ht="11.25">
      <c r="A250" s="39"/>
      <c r="B250" s="44" t="s">
        <v>56</v>
      </c>
      <c r="C250" s="39">
        <v>20</v>
      </c>
      <c r="D250" s="28">
        <f t="shared" si="24"/>
        <v>0.11299435028248588</v>
      </c>
      <c r="E250" s="28">
        <f t="shared" si="25"/>
        <v>0.11363636363636363</v>
      </c>
      <c r="F250" s="39">
        <v>64</v>
      </c>
      <c r="G250" s="28">
        <f t="shared" si="26"/>
        <v>0.16886543535620052</v>
      </c>
      <c r="H250" s="29">
        <f t="shared" si="27"/>
        <v>0.1702127659574468</v>
      </c>
      <c r="I250" s="18"/>
      <c r="J250" s="7"/>
      <c r="K250" s="9"/>
    </row>
    <row r="251" spans="1:11" ht="11.25">
      <c r="A251" s="39"/>
      <c r="B251" s="44" t="s">
        <v>57</v>
      </c>
      <c r="C251" s="39">
        <v>19</v>
      </c>
      <c r="D251" s="28">
        <f t="shared" si="24"/>
        <v>0.10734463276836158</v>
      </c>
      <c r="E251" s="28">
        <f t="shared" si="25"/>
        <v>0.10795454545454546</v>
      </c>
      <c r="F251" s="39">
        <v>63</v>
      </c>
      <c r="G251" s="28">
        <f t="shared" si="26"/>
        <v>0.1662269129287599</v>
      </c>
      <c r="H251" s="29">
        <f t="shared" si="27"/>
        <v>0.1675531914893617</v>
      </c>
      <c r="I251" s="18"/>
      <c r="J251" s="7"/>
      <c r="K251" s="9"/>
    </row>
    <row r="252" spans="1:11" ht="11.25">
      <c r="A252" s="39"/>
      <c r="B252" s="44" t="s">
        <v>58</v>
      </c>
      <c r="C252" s="39">
        <v>17</v>
      </c>
      <c r="D252" s="28">
        <f t="shared" si="24"/>
        <v>0.096045197740113</v>
      </c>
      <c r="E252" s="28">
        <f t="shared" si="25"/>
        <v>0.09659090909090909</v>
      </c>
      <c r="F252" s="39">
        <v>27</v>
      </c>
      <c r="G252" s="28">
        <f t="shared" si="26"/>
        <v>0.0712401055408971</v>
      </c>
      <c r="H252" s="29">
        <f t="shared" si="27"/>
        <v>0.07180851063829788</v>
      </c>
      <c r="I252" s="18"/>
      <c r="J252" s="7"/>
      <c r="K252" s="9"/>
    </row>
    <row r="253" spans="1:11" ht="11.25">
      <c r="A253" s="39"/>
      <c r="B253" s="44" t="s">
        <v>59</v>
      </c>
      <c r="C253" s="39">
        <v>7</v>
      </c>
      <c r="D253" s="28">
        <f t="shared" si="24"/>
        <v>0.03954802259887006</v>
      </c>
      <c r="E253" s="28">
        <f t="shared" si="25"/>
        <v>0.03977272727272727</v>
      </c>
      <c r="F253" s="39">
        <v>15</v>
      </c>
      <c r="G253" s="28">
        <f t="shared" si="26"/>
        <v>0.0395778364116095</v>
      </c>
      <c r="H253" s="29">
        <f t="shared" si="27"/>
        <v>0.0398936170212766</v>
      </c>
      <c r="I253" s="18"/>
      <c r="J253" s="7"/>
      <c r="K253" s="9"/>
    </row>
    <row r="254" spans="1:11" ht="11.25">
      <c r="A254" s="46"/>
      <c r="B254" s="47" t="s">
        <v>18</v>
      </c>
      <c r="C254" s="46">
        <v>1</v>
      </c>
      <c r="D254" s="27">
        <f t="shared" si="24"/>
        <v>0.005649717514124294</v>
      </c>
      <c r="E254" s="83" t="s">
        <v>19</v>
      </c>
      <c r="F254" s="23">
        <v>3</v>
      </c>
      <c r="G254" s="27">
        <f t="shared" si="26"/>
        <v>0.0079155672823219</v>
      </c>
      <c r="H254" s="41" t="s">
        <v>19</v>
      </c>
      <c r="I254" s="18"/>
      <c r="J254" s="7"/>
      <c r="K254" s="9"/>
    </row>
    <row r="255" spans="1:11" ht="11.25">
      <c r="A255" s="18" t="str">
        <f>"7."</f>
        <v>7.</v>
      </c>
      <c r="B255" s="44" t="s">
        <v>60</v>
      </c>
      <c r="C255" s="13"/>
      <c r="D255" s="36"/>
      <c r="E255" s="43"/>
      <c r="F255" s="7"/>
      <c r="G255" s="49"/>
      <c r="H255" s="84"/>
      <c r="I255" s="7"/>
      <c r="J255" s="7"/>
      <c r="K255" s="9"/>
    </row>
    <row r="256" spans="1:11" ht="11.25">
      <c r="A256" s="18"/>
      <c r="B256" s="44" t="s">
        <v>61</v>
      </c>
      <c r="C256" s="18" t="s">
        <v>170</v>
      </c>
      <c r="D256" s="7"/>
      <c r="E256" s="9"/>
      <c r="F256" s="18" t="s">
        <v>171</v>
      </c>
      <c r="G256" s="49"/>
      <c r="H256" s="84"/>
      <c r="I256" s="7"/>
      <c r="J256" s="7"/>
      <c r="K256" s="9"/>
    </row>
    <row r="257" spans="1:11" ht="11.25">
      <c r="A257" s="18"/>
      <c r="B257" s="44" t="s">
        <v>63</v>
      </c>
      <c r="C257" s="18">
        <v>1</v>
      </c>
      <c r="D257" s="28">
        <f aca="true" t="shared" si="28" ref="D257:D264">C257/q1mf</f>
        <v>0.007042253521126761</v>
      </c>
      <c r="E257" s="29">
        <f aca="true" t="shared" si="29" ref="E257:E263">C257/(q1mf-q7anm)</f>
        <v>0.007751937984496124</v>
      </c>
      <c r="F257" s="7">
        <v>24</v>
      </c>
      <c r="G257" s="28">
        <f aca="true" t="shared" si="30" ref="G257:G264">F257/q1ff</f>
        <v>0.07920792079207921</v>
      </c>
      <c r="H257" s="29">
        <f aca="true" t="shared" si="31" ref="H257:H263">F257/(q1ff-q7anf)</f>
        <v>0.08450704225352113</v>
      </c>
      <c r="I257" s="7"/>
      <c r="J257" s="7"/>
      <c r="K257" s="9"/>
    </row>
    <row r="258" spans="1:11" ht="11.25">
      <c r="A258" s="18"/>
      <c r="B258" s="44" t="s">
        <v>64</v>
      </c>
      <c r="C258" s="18">
        <v>10</v>
      </c>
      <c r="D258" s="28">
        <f t="shared" si="28"/>
        <v>0.07042253521126761</v>
      </c>
      <c r="E258" s="29">
        <f t="shared" si="29"/>
        <v>0.07751937984496124</v>
      </c>
      <c r="F258" s="7">
        <v>18</v>
      </c>
      <c r="G258" s="28">
        <f t="shared" si="30"/>
        <v>0.0594059405940594</v>
      </c>
      <c r="H258" s="29">
        <f t="shared" si="31"/>
        <v>0.06338028169014084</v>
      </c>
      <c r="I258" s="7"/>
      <c r="J258" s="7"/>
      <c r="K258" s="9"/>
    </row>
    <row r="259" spans="1:11" ht="11.25">
      <c r="A259" s="18"/>
      <c r="B259" s="44" t="s">
        <v>65</v>
      </c>
      <c r="C259" s="18">
        <v>10</v>
      </c>
      <c r="D259" s="28">
        <f t="shared" si="28"/>
        <v>0.07042253521126761</v>
      </c>
      <c r="E259" s="29">
        <f t="shared" si="29"/>
        <v>0.07751937984496124</v>
      </c>
      <c r="F259" s="7">
        <v>60</v>
      </c>
      <c r="G259" s="28">
        <f t="shared" si="30"/>
        <v>0.19801980198019803</v>
      </c>
      <c r="H259" s="29">
        <f t="shared" si="31"/>
        <v>0.2112676056338028</v>
      </c>
      <c r="I259" s="7"/>
      <c r="J259" s="7"/>
      <c r="K259" s="9"/>
    </row>
    <row r="260" spans="1:11" ht="11.25">
      <c r="A260" s="18"/>
      <c r="B260" s="44" t="s">
        <v>66</v>
      </c>
      <c r="C260" s="18">
        <v>19</v>
      </c>
      <c r="D260" s="28">
        <f t="shared" si="28"/>
        <v>0.13380281690140844</v>
      </c>
      <c r="E260" s="29">
        <f t="shared" si="29"/>
        <v>0.14728682170542637</v>
      </c>
      <c r="F260" s="7">
        <v>63</v>
      </c>
      <c r="G260" s="28">
        <f t="shared" si="30"/>
        <v>0.2079207920792079</v>
      </c>
      <c r="H260" s="29">
        <f t="shared" si="31"/>
        <v>0.22183098591549297</v>
      </c>
      <c r="I260" s="7"/>
      <c r="J260" s="7"/>
      <c r="K260" s="9"/>
    </row>
    <row r="261" spans="1:11" ht="11.25">
      <c r="A261" s="18"/>
      <c r="B261" s="44" t="s">
        <v>67</v>
      </c>
      <c r="C261" s="18">
        <v>26</v>
      </c>
      <c r="D261" s="28">
        <f t="shared" si="28"/>
        <v>0.18309859154929578</v>
      </c>
      <c r="E261" s="29">
        <f t="shared" si="29"/>
        <v>0.20155038759689922</v>
      </c>
      <c r="F261" s="7">
        <v>61</v>
      </c>
      <c r="G261" s="28">
        <f t="shared" si="30"/>
        <v>0.20132013201320131</v>
      </c>
      <c r="H261" s="29">
        <f t="shared" si="31"/>
        <v>0.2147887323943662</v>
      </c>
      <c r="I261" s="7"/>
      <c r="J261" s="7"/>
      <c r="K261" s="9"/>
    </row>
    <row r="262" spans="1:11" ht="11.25">
      <c r="A262" s="18"/>
      <c r="B262" s="44" t="s">
        <v>68</v>
      </c>
      <c r="C262" s="18">
        <v>20</v>
      </c>
      <c r="D262" s="28">
        <f t="shared" si="28"/>
        <v>0.14084507042253522</v>
      </c>
      <c r="E262" s="29">
        <f t="shared" si="29"/>
        <v>0.15503875968992248</v>
      </c>
      <c r="F262" s="7">
        <v>22</v>
      </c>
      <c r="G262" s="28">
        <f t="shared" si="30"/>
        <v>0.07260726072607261</v>
      </c>
      <c r="H262" s="29">
        <f t="shared" si="31"/>
        <v>0.07746478873239436</v>
      </c>
      <c r="I262" s="7"/>
      <c r="J262" s="7"/>
      <c r="K262" s="9"/>
    </row>
    <row r="263" spans="1:11" ht="11.25">
      <c r="A263" s="18"/>
      <c r="B263" s="44" t="s">
        <v>69</v>
      </c>
      <c r="C263" s="18">
        <f>14+12+17</f>
        <v>43</v>
      </c>
      <c r="D263" s="28">
        <f t="shared" si="28"/>
        <v>0.3028169014084507</v>
      </c>
      <c r="E263" s="29">
        <f t="shared" si="29"/>
        <v>0.3333333333333333</v>
      </c>
      <c r="F263" s="7">
        <f>15+7+14</f>
        <v>36</v>
      </c>
      <c r="G263" s="28">
        <f t="shared" si="30"/>
        <v>0.1188118811881188</v>
      </c>
      <c r="H263" s="29">
        <f t="shared" si="31"/>
        <v>0.1267605633802817</v>
      </c>
      <c r="I263" s="7"/>
      <c r="J263" s="7"/>
      <c r="K263" s="9"/>
    </row>
    <row r="264" spans="1:11" ht="10.5" customHeight="1">
      <c r="A264" s="18"/>
      <c r="B264" s="44" t="s">
        <v>70</v>
      </c>
      <c r="C264" s="18">
        <v>13</v>
      </c>
      <c r="D264" s="28">
        <f t="shared" si="28"/>
        <v>0.09154929577464789</v>
      </c>
      <c r="E264" s="31" t="s">
        <v>19</v>
      </c>
      <c r="F264" s="7">
        <v>19</v>
      </c>
      <c r="G264" s="28">
        <f t="shared" si="30"/>
        <v>0.0627062706270627</v>
      </c>
      <c r="H264" s="31" t="s">
        <v>19</v>
      </c>
      <c r="I264" s="7"/>
      <c r="J264" s="7"/>
      <c r="K264" s="9"/>
    </row>
    <row r="265" spans="1:11" ht="12.75" customHeight="1">
      <c r="A265" s="18"/>
      <c r="B265" s="44"/>
      <c r="C265" s="18"/>
      <c r="D265" s="49"/>
      <c r="E265" s="50"/>
      <c r="F265" s="7"/>
      <c r="G265" s="49"/>
      <c r="H265" s="84"/>
      <c r="I265" s="7"/>
      <c r="J265" s="7"/>
      <c r="K265" s="9"/>
    </row>
    <row r="266" spans="1:11" ht="11.25">
      <c r="A266" s="18"/>
      <c r="B266" s="44" t="s">
        <v>71</v>
      </c>
      <c r="C266" s="18" t="s">
        <v>172</v>
      </c>
      <c r="D266" s="7"/>
      <c r="E266" s="9"/>
      <c r="F266" s="18" t="s">
        <v>173</v>
      </c>
      <c r="G266" s="49"/>
      <c r="H266" s="84"/>
      <c r="I266" s="7"/>
      <c r="J266" s="7"/>
      <c r="K266" s="9"/>
    </row>
    <row r="267" spans="1:11" ht="11.25">
      <c r="A267" s="18"/>
      <c r="B267" s="44" t="s">
        <v>73</v>
      </c>
      <c r="C267" s="18">
        <v>6</v>
      </c>
      <c r="D267" s="28">
        <f aca="true" t="shared" si="32" ref="D267:D272">C267/q1mp</f>
        <v>0.17142857142857143</v>
      </c>
      <c r="E267" s="29">
        <f>C267/(q1mp-q7bnm)</f>
        <v>0.21428571428571427</v>
      </c>
      <c r="F267" s="7">
        <v>8</v>
      </c>
      <c r="G267" s="28">
        <f aca="true" t="shared" si="33" ref="G267:G272">F267/q1fp</f>
        <v>0.10526315789473684</v>
      </c>
      <c r="H267" s="29">
        <f>F267/(q1fp-q7bnf)</f>
        <v>0.13333333333333333</v>
      </c>
      <c r="I267" s="7"/>
      <c r="J267" s="7"/>
      <c r="K267" s="9"/>
    </row>
    <row r="268" spans="1:11" ht="11.25">
      <c r="A268" s="18"/>
      <c r="B268" s="44" t="s">
        <v>74</v>
      </c>
      <c r="C268" s="18">
        <v>7</v>
      </c>
      <c r="D268" s="28">
        <f t="shared" si="32"/>
        <v>0.2</v>
      </c>
      <c r="E268" s="29">
        <f>C268/(q1mp-q7bnm)</f>
        <v>0.25</v>
      </c>
      <c r="F268" s="7">
        <v>19</v>
      </c>
      <c r="G268" s="28">
        <f t="shared" si="33"/>
        <v>0.25</v>
      </c>
      <c r="H268" s="29">
        <f>F268/(q1fp-q7bnf)</f>
        <v>0.31666666666666665</v>
      </c>
      <c r="I268" s="7"/>
      <c r="J268" s="7"/>
      <c r="K268" s="9"/>
    </row>
    <row r="269" spans="1:11" ht="11.25">
      <c r="A269" s="18"/>
      <c r="B269" s="44" t="s">
        <v>75</v>
      </c>
      <c r="C269" s="18">
        <v>5</v>
      </c>
      <c r="D269" s="28">
        <f t="shared" si="32"/>
        <v>0.14285714285714285</v>
      </c>
      <c r="E269" s="29">
        <f>C269/(q1mp-q7bnm)</f>
        <v>0.17857142857142858</v>
      </c>
      <c r="F269" s="7">
        <v>11</v>
      </c>
      <c r="G269" s="28">
        <f t="shared" si="33"/>
        <v>0.14473684210526316</v>
      </c>
      <c r="H269" s="29">
        <f>F269/(q1fp-q7bnf)</f>
        <v>0.18333333333333332</v>
      </c>
      <c r="I269" s="7"/>
      <c r="J269" s="7"/>
      <c r="K269" s="9"/>
    </row>
    <row r="270" spans="1:11" ht="11.25">
      <c r="A270" s="18"/>
      <c r="B270" s="44" t="s">
        <v>76</v>
      </c>
      <c r="C270" s="18">
        <v>7</v>
      </c>
      <c r="D270" s="28">
        <f t="shared" si="32"/>
        <v>0.2</v>
      </c>
      <c r="E270" s="29">
        <f>C270/(q1mp-q7bnm)</f>
        <v>0.25</v>
      </c>
      <c r="F270" s="7">
        <v>11</v>
      </c>
      <c r="G270" s="28">
        <f t="shared" si="33"/>
        <v>0.14473684210526316</v>
      </c>
      <c r="H270" s="29">
        <f>F270/(q1fp-q7bnf)</f>
        <v>0.18333333333333332</v>
      </c>
      <c r="I270" s="7"/>
      <c r="J270" s="7"/>
      <c r="K270" s="9"/>
    </row>
    <row r="271" spans="1:11" ht="11.25">
      <c r="A271" s="18"/>
      <c r="B271" s="44" t="s">
        <v>77</v>
      </c>
      <c r="C271" s="18">
        <v>3</v>
      </c>
      <c r="D271" s="28">
        <f t="shared" si="32"/>
        <v>0.08571428571428572</v>
      </c>
      <c r="E271" s="29">
        <f>C271/(q1mp-q7bnm)</f>
        <v>0.10714285714285714</v>
      </c>
      <c r="F271" s="7">
        <v>11</v>
      </c>
      <c r="G271" s="28">
        <f t="shared" si="33"/>
        <v>0.14473684210526316</v>
      </c>
      <c r="H271" s="29">
        <f>F271/(q1fp-q7bnf)</f>
        <v>0.18333333333333332</v>
      </c>
      <c r="I271" s="7"/>
      <c r="J271" s="7"/>
      <c r="K271" s="9"/>
    </row>
    <row r="272" spans="1:11" ht="11.25">
      <c r="A272" s="23"/>
      <c r="B272" s="47" t="s">
        <v>70</v>
      </c>
      <c r="C272" s="23">
        <v>7</v>
      </c>
      <c r="D272" s="27">
        <f t="shared" si="32"/>
        <v>0.2</v>
      </c>
      <c r="E272" s="30" t="s">
        <v>19</v>
      </c>
      <c r="F272" s="11">
        <v>16</v>
      </c>
      <c r="G272" s="27">
        <f t="shared" si="33"/>
        <v>0.21052631578947367</v>
      </c>
      <c r="H272" s="30" t="s">
        <v>19</v>
      </c>
      <c r="I272" s="7"/>
      <c r="J272" s="7"/>
      <c r="K272" s="9"/>
    </row>
    <row r="273" spans="1:11" ht="11.25">
      <c r="A273" s="53" t="s">
        <v>80</v>
      </c>
      <c r="B273" s="54" t="s">
        <v>81</v>
      </c>
      <c r="C273" s="13"/>
      <c r="D273" s="28"/>
      <c r="E273" s="29"/>
      <c r="F273" s="13"/>
      <c r="G273" s="32"/>
      <c r="H273" s="33"/>
      <c r="I273" s="7"/>
      <c r="J273" s="7"/>
      <c r="K273" s="9"/>
    </row>
    <row r="274" spans="1:11" ht="11.25">
      <c r="A274" s="18"/>
      <c r="B274" s="45" t="s">
        <v>174</v>
      </c>
      <c r="C274" s="18">
        <v>25</v>
      </c>
      <c r="D274" s="28">
        <f aca="true" t="shared" si="34" ref="D274:D280">C274/totalm1</f>
        <v>0.14124293785310735</v>
      </c>
      <c r="E274" s="29">
        <f aca="true" t="shared" si="35" ref="E274:E279">C274/(totalm1-q9nm)</f>
        <v>0.14367816091954022</v>
      </c>
      <c r="F274" s="18">
        <v>57</v>
      </c>
      <c r="G274" s="28">
        <f aca="true" t="shared" si="36" ref="G274:G280">F274/totalf1</f>
        <v>0.1503957783641161</v>
      </c>
      <c r="H274" s="29">
        <f aca="true" t="shared" si="37" ref="H274:H279">F274/(totalf1-q9nf)</f>
        <v>0.15281501340482573</v>
      </c>
      <c r="I274" s="7"/>
      <c r="J274" s="7"/>
      <c r="K274" s="9"/>
    </row>
    <row r="275" spans="1:11" ht="11.25">
      <c r="A275" s="18"/>
      <c r="B275" s="45" t="s">
        <v>175</v>
      </c>
      <c r="C275" s="18">
        <v>60</v>
      </c>
      <c r="D275" s="28">
        <f t="shared" si="34"/>
        <v>0.3389830508474576</v>
      </c>
      <c r="E275" s="29">
        <f t="shared" si="35"/>
        <v>0.3448275862068966</v>
      </c>
      <c r="F275" s="18">
        <v>114</v>
      </c>
      <c r="G275" s="28">
        <f t="shared" si="36"/>
        <v>0.3007915567282322</v>
      </c>
      <c r="H275" s="29">
        <f t="shared" si="37"/>
        <v>0.30563002680965146</v>
      </c>
      <c r="I275" s="7"/>
      <c r="J275" s="7"/>
      <c r="K275" s="9"/>
    </row>
    <row r="276" spans="1:11" ht="11.25">
      <c r="A276" s="18"/>
      <c r="B276" s="45" t="s">
        <v>176</v>
      </c>
      <c r="C276" s="18">
        <v>63</v>
      </c>
      <c r="D276" s="28">
        <f t="shared" si="34"/>
        <v>0.3559322033898305</v>
      </c>
      <c r="E276" s="29">
        <f t="shared" si="35"/>
        <v>0.3620689655172414</v>
      </c>
      <c r="F276" s="18">
        <v>160</v>
      </c>
      <c r="G276" s="28">
        <f t="shared" si="36"/>
        <v>0.42216358839050133</v>
      </c>
      <c r="H276" s="29">
        <f t="shared" si="37"/>
        <v>0.4289544235924933</v>
      </c>
      <c r="I276" s="7"/>
      <c r="J276" s="7"/>
      <c r="K276" s="9"/>
    </row>
    <row r="277" spans="1:11" ht="11.25">
      <c r="A277" s="18"/>
      <c r="B277" s="45" t="s">
        <v>177</v>
      </c>
      <c r="C277" s="18">
        <v>16</v>
      </c>
      <c r="D277" s="28">
        <f t="shared" si="34"/>
        <v>0.0903954802259887</v>
      </c>
      <c r="E277" s="29">
        <f t="shared" si="35"/>
        <v>0.09195402298850575</v>
      </c>
      <c r="F277" s="18">
        <v>18</v>
      </c>
      <c r="G277" s="28">
        <f t="shared" si="36"/>
        <v>0.047493403693931395</v>
      </c>
      <c r="H277" s="29">
        <f t="shared" si="37"/>
        <v>0.04825737265415549</v>
      </c>
      <c r="I277" s="7"/>
      <c r="J277" s="7"/>
      <c r="K277" s="9"/>
    </row>
    <row r="278" spans="1:11" ht="11.25">
      <c r="A278" s="18"/>
      <c r="B278" s="45" t="s">
        <v>178</v>
      </c>
      <c r="C278" s="18">
        <v>7</v>
      </c>
      <c r="D278" s="28">
        <f t="shared" si="34"/>
        <v>0.03954802259887006</v>
      </c>
      <c r="E278" s="29">
        <f t="shared" si="35"/>
        <v>0.040229885057471264</v>
      </c>
      <c r="F278" s="18">
        <v>8</v>
      </c>
      <c r="G278" s="28">
        <f t="shared" si="36"/>
        <v>0.021108179419525065</v>
      </c>
      <c r="H278" s="29">
        <f t="shared" si="37"/>
        <v>0.021447721179624665</v>
      </c>
      <c r="I278" s="7"/>
      <c r="J278" s="7"/>
      <c r="K278" s="9"/>
    </row>
    <row r="279" spans="1:11" ht="11.25">
      <c r="A279" s="18"/>
      <c r="B279" s="45" t="s">
        <v>179</v>
      </c>
      <c r="C279" s="18">
        <v>3</v>
      </c>
      <c r="D279" s="28">
        <f t="shared" si="34"/>
        <v>0.01694915254237288</v>
      </c>
      <c r="E279" s="29">
        <f t="shared" si="35"/>
        <v>0.017241379310344827</v>
      </c>
      <c r="F279" s="18">
        <v>16</v>
      </c>
      <c r="G279" s="28">
        <f t="shared" si="36"/>
        <v>0.04221635883905013</v>
      </c>
      <c r="H279" s="29">
        <f t="shared" si="37"/>
        <v>0.04289544235924933</v>
      </c>
      <c r="I279" s="7"/>
      <c r="J279" s="7"/>
      <c r="K279" s="9"/>
    </row>
    <row r="280" spans="1:11" ht="11.25">
      <c r="A280" s="23"/>
      <c r="B280" s="55" t="s">
        <v>180</v>
      </c>
      <c r="C280" s="23">
        <v>3</v>
      </c>
      <c r="D280" s="27">
        <f t="shared" si="34"/>
        <v>0.01694915254237288</v>
      </c>
      <c r="E280" s="30" t="s">
        <v>19</v>
      </c>
      <c r="F280" s="23">
        <v>6</v>
      </c>
      <c r="G280" s="27">
        <f t="shared" si="36"/>
        <v>0.0158311345646438</v>
      </c>
      <c r="H280" s="30" t="s">
        <v>19</v>
      </c>
      <c r="I280" s="7"/>
      <c r="J280" s="7"/>
      <c r="K280" s="9"/>
    </row>
    <row r="281" spans="1:11" ht="11.25">
      <c r="A281" s="85" t="s">
        <v>181</v>
      </c>
      <c r="B281" s="86"/>
      <c r="C281" s="87"/>
      <c r="D281" s="88"/>
      <c r="E281" s="88"/>
      <c r="F281" s="87"/>
      <c r="G281" s="88"/>
      <c r="H281" s="89"/>
      <c r="I281" s="11"/>
      <c r="J281" s="11"/>
      <c r="K281" s="12"/>
    </row>
    <row r="282" spans="1:11" ht="11.25">
      <c r="A282" s="2"/>
      <c r="B282" s="42"/>
      <c r="C282" s="2"/>
      <c r="D282" s="32"/>
      <c r="E282" s="80"/>
      <c r="F282" s="2"/>
      <c r="G282" s="32"/>
      <c r="H282" s="80"/>
      <c r="I282" s="2"/>
      <c r="J282" s="2"/>
      <c r="K282" s="2"/>
    </row>
    <row r="283" spans="1:11" ht="11.25">
      <c r="A283" s="7"/>
      <c r="B283" s="44"/>
      <c r="C283" s="7"/>
      <c r="D283" s="28"/>
      <c r="E283" s="90"/>
      <c r="F283" s="7"/>
      <c r="G283" s="28"/>
      <c r="H283" s="90"/>
      <c r="I283" s="7"/>
      <c r="J283" s="7"/>
      <c r="K283" s="7"/>
    </row>
    <row r="284" spans="1:11" ht="11.25">
      <c r="A284" s="7"/>
      <c r="B284" s="44"/>
      <c r="C284" s="7"/>
      <c r="D284" s="28"/>
      <c r="E284" s="90"/>
      <c r="F284" s="7"/>
      <c r="G284" s="28"/>
      <c r="H284" s="90"/>
      <c r="I284" s="7"/>
      <c r="J284" s="7"/>
      <c r="K284" s="7"/>
    </row>
    <row r="285" spans="1:11" ht="11.25">
      <c r="A285" s="7"/>
      <c r="B285" s="44"/>
      <c r="C285" s="7"/>
      <c r="D285" s="28"/>
      <c r="E285" s="90"/>
      <c r="F285" s="7"/>
      <c r="G285" s="28"/>
      <c r="H285" s="90"/>
      <c r="I285" s="7"/>
      <c r="J285" s="7"/>
      <c r="K285" s="7"/>
    </row>
    <row r="286" spans="1:11" ht="11.25">
      <c r="A286" s="7"/>
      <c r="B286" s="44"/>
      <c r="C286" s="7"/>
      <c r="D286" s="28"/>
      <c r="E286" s="90"/>
      <c r="F286" s="7"/>
      <c r="G286" s="28"/>
      <c r="H286" s="90"/>
      <c r="I286" s="7"/>
      <c r="J286" s="7"/>
      <c r="K286" s="7"/>
    </row>
    <row r="287" spans="1:11" ht="12.75">
      <c r="A287" s="1" t="s">
        <v>0</v>
      </c>
      <c r="B287" s="2"/>
      <c r="C287" s="2"/>
      <c r="D287" s="2"/>
      <c r="E287" s="2"/>
      <c r="F287" s="2"/>
      <c r="G287" s="2"/>
      <c r="H287" s="2"/>
      <c r="I287" s="2"/>
      <c r="J287" s="2"/>
      <c r="K287" s="4" t="s">
        <v>182</v>
      </c>
    </row>
    <row r="288" spans="1:11" ht="12.75">
      <c r="A288" s="6" t="s">
        <v>2</v>
      </c>
      <c r="B288" s="7"/>
      <c r="C288" s="7"/>
      <c r="D288" s="7"/>
      <c r="E288" s="7"/>
      <c r="F288" s="7"/>
      <c r="G288" s="7"/>
      <c r="H288" s="7"/>
      <c r="I288" s="7"/>
      <c r="J288" s="7"/>
      <c r="K288" s="9"/>
    </row>
    <row r="289" spans="1:11" ht="12.75">
      <c r="A289" s="6" t="s">
        <v>3</v>
      </c>
      <c r="B289" s="7"/>
      <c r="C289" s="7"/>
      <c r="D289" s="7"/>
      <c r="E289" s="7"/>
      <c r="F289" s="7"/>
      <c r="G289" s="7"/>
      <c r="H289" s="7"/>
      <c r="I289" s="7"/>
      <c r="J289" s="7"/>
      <c r="K289" s="9"/>
    </row>
    <row r="290" spans="1:11" ht="12.75">
      <c r="A290" s="57" t="s">
        <v>4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2"/>
    </row>
    <row r="291" spans="1:11" ht="15.75" customHeight="1">
      <c r="A291" s="13"/>
      <c r="B291" s="2"/>
      <c r="C291" s="66" t="s">
        <v>153</v>
      </c>
      <c r="D291" s="67"/>
      <c r="E291" s="67"/>
      <c r="F291" s="66" t="s">
        <v>154</v>
      </c>
      <c r="G291" s="68"/>
      <c r="H291" s="69"/>
      <c r="I291" s="18"/>
      <c r="J291" s="7"/>
      <c r="K291" s="9"/>
    </row>
    <row r="292" spans="1:11" ht="11.25">
      <c r="A292" s="18"/>
      <c r="B292" s="9"/>
      <c r="C292" s="70"/>
      <c r="D292" s="71" t="s">
        <v>5</v>
      </c>
      <c r="E292" s="71" t="s">
        <v>5</v>
      </c>
      <c r="F292" s="72"/>
      <c r="G292" s="71" t="s">
        <v>5</v>
      </c>
      <c r="H292" s="73" t="s">
        <v>5</v>
      </c>
      <c r="I292" s="18"/>
      <c r="J292" s="7"/>
      <c r="K292" s="9"/>
    </row>
    <row r="293" spans="1:11" ht="12.75">
      <c r="A293" s="74" t="s">
        <v>155</v>
      </c>
      <c r="B293" s="9"/>
      <c r="C293" s="70"/>
      <c r="D293" s="71" t="s">
        <v>7</v>
      </c>
      <c r="E293" s="71" t="s">
        <v>8</v>
      </c>
      <c r="F293" s="72"/>
      <c r="G293" s="71" t="s">
        <v>7</v>
      </c>
      <c r="H293" s="73" t="s">
        <v>8</v>
      </c>
      <c r="I293" s="18"/>
      <c r="J293" s="7"/>
      <c r="K293" s="9"/>
    </row>
    <row r="294" spans="1:11" ht="11.25">
      <c r="A294" s="23"/>
      <c r="B294" s="12"/>
      <c r="C294" s="75" t="s">
        <v>9</v>
      </c>
      <c r="D294" s="75" t="s">
        <v>10</v>
      </c>
      <c r="E294" s="75" t="s">
        <v>10</v>
      </c>
      <c r="F294" s="76" t="s">
        <v>9</v>
      </c>
      <c r="G294" s="75" t="s">
        <v>10</v>
      </c>
      <c r="H294" s="77" t="s">
        <v>10</v>
      </c>
      <c r="I294" s="18"/>
      <c r="J294" s="7"/>
      <c r="K294" s="9"/>
    </row>
    <row r="295" spans="1:11" ht="11.25">
      <c r="A295" s="18" t="str">
        <f>"9a."</f>
        <v>9a.</v>
      </c>
      <c r="B295" s="44" t="s">
        <v>88</v>
      </c>
      <c r="C295" s="18"/>
      <c r="D295" s="28"/>
      <c r="E295" s="31"/>
      <c r="F295" s="7"/>
      <c r="G295" s="28"/>
      <c r="H295" s="84"/>
      <c r="I295" s="7"/>
      <c r="J295" s="7"/>
      <c r="K295" s="9"/>
    </row>
    <row r="296" spans="1:11" ht="11.25">
      <c r="A296" s="18"/>
      <c r="B296" s="44" t="s">
        <v>89</v>
      </c>
      <c r="C296" s="18">
        <v>15</v>
      </c>
      <c r="D296" s="28">
        <f aca="true" t="shared" si="38" ref="D296:D334">C296/totalm1</f>
        <v>0.0847457627118644</v>
      </c>
      <c r="E296" s="29">
        <f aca="true" t="shared" si="39" ref="E296:E333">C296/(totalm1-q8nm)</f>
        <v>0.09146341463414634</v>
      </c>
      <c r="F296" s="7">
        <v>26</v>
      </c>
      <c r="G296" s="28">
        <f aca="true" t="shared" si="40" ref="G296:G334">F296/totalf1</f>
        <v>0.06860158311345646</v>
      </c>
      <c r="H296" s="29">
        <f aca="true" t="shared" si="41" ref="H296:H333">F296/(totalf1-q8nf)</f>
        <v>0.07323943661971831</v>
      </c>
      <c r="I296" s="7"/>
      <c r="J296" s="7"/>
      <c r="K296" s="9"/>
    </row>
    <row r="297" spans="1:11" ht="11.25">
      <c r="A297" s="18"/>
      <c r="B297" s="44" t="s">
        <v>90</v>
      </c>
      <c r="C297" s="18">
        <v>4</v>
      </c>
      <c r="D297" s="28">
        <f t="shared" si="38"/>
        <v>0.022598870056497175</v>
      </c>
      <c r="E297" s="29">
        <f t="shared" si="39"/>
        <v>0.024390243902439025</v>
      </c>
      <c r="F297" s="7">
        <v>16</v>
      </c>
      <c r="G297" s="28">
        <f t="shared" si="40"/>
        <v>0.04221635883905013</v>
      </c>
      <c r="H297" s="29">
        <f t="shared" si="41"/>
        <v>0.04507042253521127</v>
      </c>
      <c r="I297" s="7"/>
      <c r="J297" s="7"/>
      <c r="K297" s="9"/>
    </row>
    <row r="298" spans="1:11" ht="11.25">
      <c r="A298" s="18"/>
      <c r="B298" s="44" t="s">
        <v>91</v>
      </c>
      <c r="C298" s="18">
        <v>14</v>
      </c>
      <c r="D298" s="28">
        <f t="shared" si="38"/>
        <v>0.07909604519774012</v>
      </c>
      <c r="E298" s="29">
        <f t="shared" si="39"/>
        <v>0.08536585365853659</v>
      </c>
      <c r="F298" s="7">
        <v>17</v>
      </c>
      <c r="G298" s="28">
        <f t="shared" si="40"/>
        <v>0.044854881266490766</v>
      </c>
      <c r="H298" s="29">
        <f t="shared" si="41"/>
        <v>0.04788732394366197</v>
      </c>
      <c r="I298" s="7"/>
      <c r="J298" s="7"/>
      <c r="K298" s="9"/>
    </row>
    <row r="299" spans="1:11" ht="11.25">
      <c r="A299" s="18"/>
      <c r="B299" s="44" t="s">
        <v>92</v>
      </c>
      <c r="C299" s="18">
        <v>22</v>
      </c>
      <c r="D299" s="28">
        <f t="shared" si="38"/>
        <v>0.12429378531073447</v>
      </c>
      <c r="E299" s="29">
        <f t="shared" si="39"/>
        <v>0.13414634146341464</v>
      </c>
      <c r="F299" s="7">
        <v>6</v>
      </c>
      <c r="G299" s="28">
        <f t="shared" si="40"/>
        <v>0.0158311345646438</v>
      </c>
      <c r="H299" s="29">
        <f t="shared" si="41"/>
        <v>0.016901408450704224</v>
      </c>
      <c r="I299" s="7"/>
      <c r="J299" s="7"/>
      <c r="K299" s="9"/>
    </row>
    <row r="300" spans="1:11" ht="11.25">
      <c r="A300" s="18"/>
      <c r="B300" s="44" t="s">
        <v>93</v>
      </c>
      <c r="C300" s="18">
        <v>0</v>
      </c>
      <c r="D300" s="28">
        <f t="shared" si="38"/>
        <v>0</v>
      </c>
      <c r="E300" s="29">
        <f t="shared" si="39"/>
        <v>0</v>
      </c>
      <c r="F300" s="7">
        <v>0</v>
      </c>
      <c r="G300" s="28">
        <f t="shared" si="40"/>
        <v>0</v>
      </c>
      <c r="H300" s="29">
        <f t="shared" si="41"/>
        <v>0</v>
      </c>
      <c r="I300" s="7"/>
      <c r="J300" s="7"/>
      <c r="K300" s="9"/>
    </row>
    <row r="301" spans="1:11" ht="11.25">
      <c r="A301" s="18"/>
      <c r="B301" s="44" t="s">
        <v>94</v>
      </c>
      <c r="C301" s="18">
        <v>2</v>
      </c>
      <c r="D301" s="28">
        <f t="shared" si="38"/>
        <v>0.011299435028248588</v>
      </c>
      <c r="E301" s="29">
        <f t="shared" si="39"/>
        <v>0.012195121951219513</v>
      </c>
      <c r="F301" s="7">
        <v>2</v>
      </c>
      <c r="G301" s="28">
        <f t="shared" si="40"/>
        <v>0.005277044854881266</v>
      </c>
      <c r="H301" s="29">
        <f t="shared" si="41"/>
        <v>0.005633802816901409</v>
      </c>
      <c r="I301" s="7"/>
      <c r="J301" s="7"/>
      <c r="K301" s="9"/>
    </row>
    <row r="302" spans="1:11" ht="11.25">
      <c r="A302" s="18"/>
      <c r="B302" s="44" t="s">
        <v>95</v>
      </c>
      <c r="C302" s="18">
        <v>19</v>
      </c>
      <c r="D302" s="28">
        <f t="shared" si="38"/>
        <v>0.10734463276836158</v>
      </c>
      <c r="E302" s="29">
        <f t="shared" si="39"/>
        <v>0.11585365853658537</v>
      </c>
      <c r="F302" s="7">
        <v>5</v>
      </c>
      <c r="G302" s="28">
        <f t="shared" si="40"/>
        <v>0.013192612137203167</v>
      </c>
      <c r="H302" s="29">
        <f t="shared" si="41"/>
        <v>0.014084507042253521</v>
      </c>
      <c r="I302" s="7"/>
      <c r="J302" s="7"/>
      <c r="K302" s="9"/>
    </row>
    <row r="303" spans="1:11" ht="11.25">
      <c r="A303" s="18"/>
      <c r="B303" s="44" t="s">
        <v>96</v>
      </c>
      <c r="C303" s="18">
        <v>5</v>
      </c>
      <c r="D303" s="28">
        <f t="shared" si="38"/>
        <v>0.02824858757062147</v>
      </c>
      <c r="E303" s="29">
        <f t="shared" si="39"/>
        <v>0.03048780487804878</v>
      </c>
      <c r="F303" s="7">
        <v>8</v>
      </c>
      <c r="G303" s="28">
        <f t="shared" si="40"/>
        <v>0.021108179419525065</v>
      </c>
      <c r="H303" s="29">
        <f t="shared" si="41"/>
        <v>0.022535211267605635</v>
      </c>
      <c r="I303" s="7"/>
      <c r="J303" s="7"/>
      <c r="K303" s="9"/>
    </row>
    <row r="304" spans="1:11" ht="11.25">
      <c r="A304" s="18"/>
      <c r="B304" s="44" t="s">
        <v>97</v>
      </c>
      <c r="C304" s="18">
        <v>1</v>
      </c>
      <c r="D304" s="28">
        <f t="shared" si="38"/>
        <v>0.005649717514124294</v>
      </c>
      <c r="E304" s="29">
        <f t="shared" si="39"/>
        <v>0.006097560975609756</v>
      </c>
      <c r="F304" s="7">
        <v>7</v>
      </c>
      <c r="G304" s="28">
        <f t="shared" si="40"/>
        <v>0.018469656992084433</v>
      </c>
      <c r="H304" s="29">
        <f t="shared" si="41"/>
        <v>0.01971830985915493</v>
      </c>
      <c r="I304" s="7"/>
      <c r="J304" s="7"/>
      <c r="K304" s="9"/>
    </row>
    <row r="305" spans="1:11" ht="11.25">
      <c r="A305" s="18"/>
      <c r="B305" s="44" t="s">
        <v>98</v>
      </c>
      <c r="C305" s="18">
        <v>0</v>
      </c>
      <c r="D305" s="28">
        <f t="shared" si="38"/>
        <v>0</v>
      </c>
      <c r="E305" s="29">
        <f t="shared" si="39"/>
        <v>0</v>
      </c>
      <c r="F305" s="7">
        <v>0</v>
      </c>
      <c r="G305" s="28">
        <f t="shared" si="40"/>
        <v>0</v>
      </c>
      <c r="H305" s="29">
        <f t="shared" si="41"/>
        <v>0</v>
      </c>
      <c r="I305" s="7"/>
      <c r="J305" s="7"/>
      <c r="K305" s="9"/>
    </row>
    <row r="306" spans="1:11" ht="11.25">
      <c r="A306" s="18"/>
      <c r="B306" s="44" t="s">
        <v>99</v>
      </c>
      <c r="C306" s="18">
        <v>3</v>
      </c>
      <c r="D306" s="28">
        <f t="shared" si="38"/>
        <v>0.01694915254237288</v>
      </c>
      <c r="E306" s="29">
        <f t="shared" si="39"/>
        <v>0.018292682926829267</v>
      </c>
      <c r="F306" s="7">
        <v>45</v>
      </c>
      <c r="G306" s="28">
        <f t="shared" si="40"/>
        <v>0.11873350923482849</v>
      </c>
      <c r="H306" s="29">
        <f t="shared" si="41"/>
        <v>0.1267605633802817</v>
      </c>
      <c r="I306" s="7"/>
      <c r="J306" s="7"/>
      <c r="K306" s="9"/>
    </row>
    <row r="307" spans="1:11" ht="11.25">
      <c r="A307" s="18"/>
      <c r="B307" s="44" t="s">
        <v>100</v>
      </c>
      <c r="C307" s="18">
        <v>0</v>
      </c>
      <c r="D307" s="28">
        <f t="shared" si="38"/>
        <v>0</v>
      </c>
      <c r="E307" s="29">
        <f t="shared" si="39"/>
        <v>0</v>
      </c>
      <c r="F307" s="7">
        <v>4</v>
      </c>
      <c r="G307" s="28">
        <f t="shared" si="40"/>
        <v>0.010554089709762533</v>
      </c>
      <c r="H307" s="29">
        <f t="shared" si="41"/>
        <v>0.011267605633802818</v>
      </c>
      <c r="I307" s="7"/>
      <c r="J307" s="7"/>
      <c r="K307" s="9"/>
    </row>
    <row r="308" spans="1:11" ht="11.25">
      <c r="A308" s="18"/>
      <c r="B308" s="44" t="s">
        <v>101</v>
      </c>
      <c r="C308" s="18">
        <v>3</v>
      </c>
      <c r="D308" s="28">
        <f t="shared" si="38"/>
        <v>0.01694915254237288</v>
      </c>
      <c r="E308" s="29">
        <f t="shared" si="39"/>
        <v>0.018292682926829267</v>
      </c>
      <c r="F308" s="7">
        <v>20</v>
      </c>
      <c r="G308" s="28">
        <f t="shared" si="40"/>
        <v>0.052770448548812667</v>
      </c>
      <c r="H308" s="29">
        <f t="shared" si="41"/>
        <v>0.056338028169014086</v>
      </c>
      <c r="K308" s="9"/>
    </row>
    <row r="309" spans="1:11" ht="11.25">
      <c r="A309" s="18"/>
      <c r="B309" s="44" t="s">
        <v>102</v>
      </c>
      <c r="C309" s="18">
        <v>3</v>
      </c>
      <c r="D309" s="28">
        <f t="shared" si="38"/>
        <v>0.01694915254237288</v>
      </c>
      <c r="E309" s="29">
        <f t="shared" si="39"/>
        <v>0.018292682926829267</v>
      </c>
      <c r="F309" s="5">
        <v>19</v>
      </c>
      <c r="G309" s="91">
        <f t="shared" si="40"/>
        <v>0.05013192612137203</v>
      </c>
      <c r="H309" s="29">
        <f t="shared" si="41"/>
        <v>0.05352112676056338</v>
      </c>
      <c r="K309" s="9"/>
    </row>
    <row r="310" spans="1:11" ht="11.25">
      <c r="A310" s="18"/>
      <c r="B310" s="44" t="s">
        <v>103</v>
      </c>
      <c r="C310" s="18">
        <v>0</v>
      </c>
      <c r="D310" s="28">
        <f t="shared" si="38"/>
        <v>0</v>
      </c>
      <c r="E310" s="29">
        <f t="shared" si="39"/>
        <v>0</v>
      </c>
      <c r="F310" s="5">
        <v>0</v>
      </c>
      <c r="G310" s="91">
        <f t="shared" si="40"/>
        <v>0</v>
      </c>
      <c r="H310" s="29">
        <f t="shared" si="41"/>
        <v>0</v>
      </c>
      <c r="K310" s="9"/>
    </row>
    <row r="311" spans="1:11" ht="11.25">
      <c r="A311" s="18"/>
      <c r="B311" s="44" t="s">
        <v>104</v>
      </c>
      <c r="C311" s="18">
        <v>0</v>
      </c>
      <c r="D311" s="28">
        <f t="shared" si="38"/>
        <v>0</v>
      </c>
      <c r="E311" s="29">
        <f t="shared" si="39"/>
        <v>0</v>
      </c>
      <c r="F311" s="5">
        <v>4</v>
      </c>
      <c r="G311" s="91">
        <f t="shared" si="40"/>
        <v>0.010554089709762533</v>
      </c>
      <c r="H311" s="29">
        <f t="shared" si="41"/>
        <v>0.011267605633802818</v>
      </c>
      <c r="K311" s="9"/>
    </row>
    <row r="312" spans="1:11" ht="11.25">
      <c r="A312" s="18"/>
      <c r="B312" s="44" t="s">
        <v>105</v>
      </c>
      <c r="C312" s="18">
        <v>0</v>
      </c>
      <c r="D312" s="28">
        <f t="shared" si="38"/>
        <v>0</v>
      </c>
      <c r="E312" s="29">
        <f t="shared" si="39"/>
        <v>0</v>
      </c>
      <c r="F312" s="5">
        <v>14</v>
      </c>
      <c r="G312" s="91">
        <f t="shared" si="40"/>
        <v>0.036939313984168866</v>
      </c>
      <c r="H312" s="29">
        <f t="shared" si="41"/>
        <v>0.03943661971830986</v>
      </c>
      <c r="K312" s="9"/>
    </row>
    <row r="313" spans="1:11" ht="11.25">
      <c r="A313" s="18"/>
      <c r="B313" s="44" t="s">
        <v>106</v>
      </c>
      <c r="C313" s="18">
        <v>3</v>
      </c>
      <c r="D313" s="28">
        <f t="shared" si="38"/>
        <v>0.01694915254237288</v>
      </c>
      <c r="E313" s="29">
        <f t="shared" si="39"/>
        <v>0.018292682926829267</v>
      </c>
      <c r="F313" s="5">
        <v>18</v>
      </c>
      <c r="G313" s="91">
        <f t="shared" si="40"/>
        <v>0.047493403693931395</v>
      </c>
      <c r="H313" s="29">
        <f t="shared" si="41"/>
        <v>0.05070422535211268</v>
      </c>
      <c r="K313" s="9"/>
    </row>
    <row r="314" spans="1:11" ht="11.25">
      <c r="A314" s="18"/>
      <c r="B314" s="44" t="s">
        <v>107</v>
      </c>
      <c r="C314" s="18">
        <v>3</v>
      </c>
      <c r="D314" s="28">
        <f t="shared" si="38"/>
        <v>0.01694915254237288</v>
      </c>
      <c r="E314" s="29">
        <f t="shared" si="39"/>
        <v>0.018292682926829267</v>
      </c>
      <c r="F314" s="5">
        <v>12</v>
      </c>
      <c r="G314" s="91">
        <f t="shared" si="40"/>
        <v>0.0316622691292876</v>
      </c>
      <c r="H314" s="29">
        <f t="shared" si="41"/>
        <v>0.03380281690140845</v>
      </c>
      <c r="K314" s="9"/>
    </row>
    <row r="315" spans="1:11" ht="11.25">
      <c r="A315" s="18"/>
      <c r="B315" s="44" t="s">
        <v>108</v>
      </c>
      <c r="C315" s="18">
        <v>7</v>
      </c>
      <c r="D315" s="28">
        <f t="shared" si="38"/>
        <v>0.03954802259887006</v>
      </c>
      <c r="E315" s="29">
        <f t="shared" si="39"/>
        <v>0.042682926829268296</v>
      </c>
      <c r="F315" s="5">
        <v>14</v>
      </c>
      <c r="G315" s="91">
        <f t="shared" si="40"/>
        <v>0.036939313984168866</v>
      </c>
      <c r="H315" s="29">
        <f t="shared" si="41"/>
        <v>0.03943661971830986</v>
      </c>
      <c r="K315" s="9"/>
    </row>
    <row r="316" spans="1:11" ht="11.25">
      <c r="A316" s="18"/>
      <c r="B316" s="44" t="s">
        <v>109</v>
      </c>
      <c r="C316" s="18">
        <v>0</v>
      </c>
      <c r="D316" s="28">
        <f t="shared" si="38"/>
        <v>0</v>
      </c>
      <c r="E316" s="29">
        <f t="shared" si="39"/>
        <v>0</v>
      </c>
      <c r="F316" s="5">
        <v>22</v>
      </c>
      <c r="G316" s="91">
        <f t="shared" si="40"/>
        <v>0.05804749340369393</v>
      </c>
      <c r="H316" s="29">
        <f t="shared" si="41"/>
        <v>0.061971830985915494</v>
      </c>
      <c r="K316" s="9"/>
    </row>
    <row r="317" spans="1:11" ht="11.25">
      <c r="A317" s="18"/>
      <c r="B317" s="44" t="s">
        <v>110</v>
      </c>
      <c r="C317" s="18">
        <v>8</v>
      </c>
      <c r="D317" s="28">
        <f t="shared" si="38"/>
        <v>0.04519774011299435</v>
      </c>
      <c r="E317" s="29">
        <f t="shared" si="39"/>
        <v>0.04878048780487805</v>
      </c>
      <c r="F317" s="5">
        <v>18</v>
      </c>
      <c r="G317" s="91">
        <f t="shared" si="40"/>
        <v>0.047493403693931395</v>
      </c>
      <c r="H317" s="29">
        <f t="shared" si="41"/>
        <v>0.05070422535211268</v>
      </c>
      <c r="K317" s="9"/>
    </row>
    <row r="318" spans="1:11" ht="11.25">
      <c r="A318" s="18"/>
      <c r="B318" s="44" t="s">
        <v>111</v>
      </c>
      <c r="C318" s="18">
        <v>3</v>
      </c>
      <c r="D318" s="28">
        <f t="shared" si="38"/>
        <v>0.01694915254237288</v>
      </c>
      <c r="E318" s="29">
        <f t="shared" si="39"/>
        <v>0.018292682926829267</v>
      </c>
      <c r="F318" s="5">
        <v>4</v>
      </c>
      <c r="G318" s="91">
        <f t="shared" si="40"/>
        <v>0.010554089709762533</v>
      </c>
      <c r="H318" s="29">
        <f t="shared" si="41"/>
        <v>0.011267605633802818</v>
      </c>
      <c r="K318" s="9"/>
    </row>
    <row r="319" spans="1:11" ht="11.25">
      <c r="A319" s="18"/>
      <c r="B319" s="44" t="s">
        <v>112</v>
      </c>
      <c r="C319" s="18">
        <v>1</v>
      </c>
      <c r="D319" s="28">
        <f t="shared" si="38"/>
        <v>0.005649717514124294</v>
      </c>
      <c r="E319" s="29">
        <f t="shared" si="39"/>
        <v>0.006097560975609756</v>
      </c>
      <c r="F319" s="5">
        <v>2</v>
      </c>
      <c r="G319" s="91">
        <f t="shared" si="40"/>
        <v>0.005277044854881266</v>
      </c>
      <c r="H319" s="29">
        <f t="shared" si="41"/>
        <v>0.005633802816901409</v>
      </c>
      <c r="K319" s="9"/>
    </row>
    <row r="320" spans="1:11" ht="11.25">
      <c r="A320" s="18"/>
      <c r="B320" s="44" t="s">
        <v>183</v>
      </c>
      <c r="C320" s="18">
        <v>1</v>
      </c>
      <c r="D320" s="28">
        <f t="shared" si="38"/>
        <v>0.005649717514124294</v>
      </c>
      <c r="E320" s="29">
        <f t="shared" si="39"/>
        <v>0.006097560975609756</v>
      </c>
      <c r="F320" s="5">
        <v>3</v>
      </c>
      <c r="G320" s="91">
        <f t="shared" si="40"/>
        <v>0.0079155672823219</v>
      </c>
      <c r="H320" s="29">
        <f t="shared" si="41"/>
        <v>0.008450704225352112</v>
      </c>
      <c r="K320" s="9"/>
    </row>
    <row r="321" spans="1:11" ht="11.25">
      <c r="A321" s="18"/>
      <c r="B321" s="44" t="s">
        <v>114</v>
      </c>
      <c r="C321" s="18">
        <v>3</v>
      </c>
      <c r="D321" s="28">
        <f t="shared" si="38"/>
        <v>0.01694915254237288</v>
      </c>
      <c r="E321" s="29">
        <f t="shared" si="39"/>
        <v>0.018292682926829267</v>
      </c>
      <c r="F321" s="5">
        <v>3</v>
      </c>
      <c r="G321" s="91">
        <f t="shared" si="40"/>
        <v>0.0079155672823219</v>
      </c>
      <c r="H321" s="29">
        <f t="shared" si="41"/>
        <v>0.008450704225352112</v>
      </c>
      <c r="K321" s="9"/>
    </row>
    <row r="322" spans="1:11" ht="11.25">
      <c r="A322" s="18"/>
      <c r="B322" s="44" t="s">
        <v>115</v>
      </c>
      <c r="C322" s="18">
        <v>17</v>
      </c>
      <c r="D322" s="28">
        <f t="shared" si="38"/>
        <v>0.096045197740113</v>
      </c>
      <c r="E322" s="29">
        <f t="shared" si="39"/>
        <v>0.10365853658536585</v>
      </c>
      <c r="F322" s="5">
        <v>16</v>
      </c>
      <c r="G322" s="91">
        <f t="shared" si="40"/>
        <v>0.04221635883905013</v>
      </c>
      <c r="H322" s="29">
        <f t="shared" si="41"/>
        <v>0.04507042253521127</v>
      </c>
      <c r="K322" s="9"/>
    </row>
    <row r="323" spans="1:11" ht="11.25">
      <c r="A323" s="18"/>
      <c r="B323" s="44" t="s">
        <v>116</v>
      </c>
      <c r="C323" s="18">
        <v>9</v>
      </c>
      <c r="D323" s="28">
        <f t="shared" si="38"/>
        <v>0.05084745762711865</v>
      </c>
      <c r="E323" s="29">
        <f t="shared" si="39"/>
        <v>0.054878048780487805</v>
      </c>
      <c r="F323" s="5">
        <v>26</v>
      </c>
      <c r="G323" s="91">
        <f t="shared" si="40"/>
        <v>0.06860158311345646</v>
      </c>
      <c r="H323" s="29">
        <f t="shared" si="41"/>
        <v>0.07323943661971831</v>
      </c>
      <c r="K323" s="9"/>
    </row>
    <row r="324" spans="1:11" ht="11.25">
      <c r="A324" s="18"/>
      <c r="B324" s="44" t="s">
        <v>117</v>
      </c>
      <c r="C324" s="18">
        <v>6</v>
      </c>
      <c r="D324" s="28">
        <f t="shared" si="38"/>
        <v>0.03389830508474576</v>
      </c>
      <c r="E324" s="29">
        <f t="shared" si="39"/>
        <v>0.036585365853658534</v>
      </c>
      <c r="F324" s="5">
        <v>3</v>
      </c>
      <c r="G324" s="91">
        <f t="shared" si="40"/>
        <v>0.0079155672823219</v>
      </c>
      <c r="H324" s="29">
        <f t="shared" si="41"/>
        <v>0.008450704225352112</v>
      </c>
      <c r="K324" s="9"/>
    </row>
    <row r="325" spans="1:11" ht="11.25">
      <c r="A325" s="18"/>
      <c r="B325" s="44" t="s">
        <v>118</v>
      </c>
      <c r="C325" s="18">
        <v>3</v>
      </c>
      <c r="D325" s="28">
        <f t="shared" si="38"/>
        <v>0.01694915254237288</v>
      </c>
      <c r="E325" s="29">
        <f t="shared" si="39"/>
        <v>0.018292682926829267</v>
      </c>
      <c r="F325" s="5">
        <v>11</v>
      </c>
      <c r="G325" s="91">
        <f t="shared" si="40"/>
        <v>0.029023746701846966</v>
      </c>
      <c r="H325" s="29">
        <f t="shared" si="41"/>
        <v>0.030985915492957747</v>
      </c>
      <c r="K325" s="9"/>
    </row>
    <row r="326" spans="1:11" ht="11.25">
      <c r="A326" s="18"/>
      <c r="B326" s="44" t="s">
        <v>119</v>
      </c>
      <c r="C326" s="18">
        <v>0</v>
      </c>
      <c r="D326" s="28">
        <f t="shared" si="38"/>
        <v>0</v>
      </c>
      <c r="E326" s="29">
        <f t="shared" si="39"/>
        <v>0</v>
      </c>
      <c r="F326" s="5">
        <v>1</v>
      </c>
      <c r="G326" s="91">
        <f t="shared" si="40"/>
        <v>0.002638522427440633</v>
      </c>
      <c r="H326" s="29">
        <f t="shared" si="41"/>
        <v>0.0028169014084507044</v>
      </c>
      <c r="K326" s="9"/>
    </row>
    <row r="327" spans="1:11" ht="11.25">
      <c r="A327" s="18"/>
      <c r="B327" s="44" t="s">
        <v>120</v>
      </c>
      <c r="C327" s="18">
        <v>2</v>
      </c>
      <c r="D327" s="28">
        <f t="shared" si="38"/>
        <v>0.011299435028248588</v>
      </c>
      <c r="E327" s="29">
        <f t="shared" si="39"/>
        <v>0.012195121951219513</v>
      </c>
      <c r="F327" s="5">
        <v>4</v>
      </c>
      <c r="G327" s="91">
        <f t="shared" si="40"/>
        <v>0.010554089709762533</v>
      </c>
      <c r="H327" s="29">
        <f t="shared" si="41"/>
        <v>0.011267605633802818</v>
      </c>
      <c r="K327" s="9"/>
    </row>
    <row r="328" spans="1:11" ht="11.25">
      <c r="A328" s="18"/>
      <c r="B328" s="44" t="s">
        <v>121</v>
      </c>
      <c r="C328" s="18">
        <v>1</v>
      </c>
      <c r="D328" s="28">
        <f t="shared" si="38"/>
        <v>0.005649717514124294</v>
      </c>
      <c r="E328" s="29">
        <f t="shared" si="39"/>
        <v>0.006097560975609756</v>
      </c>
      <c r="F328" s="5">
        <v>0</v>
      </c>
      <c r="G328" s="91">
        <f t="shared" si="40"/>
        <v>0</v>
      </c>
      <c r="H328" s="29">
        <f t="shared" si="41"/>
        <v>0</v>
      </c>
      <c r="K328" s="9"/>
    </row>
    <row r="329" spans="1:11" ht="11.25">
      <c r="A329" s="18"/>
      <c r="B329" s="44" t="s">
        <v>126</v>
      </c>
      <c r="C329" s="18">
        <v>2</v>
      </c>
      <c r="D329" s="28">
        <f t="shared" si="38"/>
        <v>0.011299435028248588</v>
      </c>
      <c r="E329" s="29">
        <f t="shared" si="39"/>
        <v>0.012195121951219513</v>
      </c>
      <c r="F329" s="5">
        <v>0</v>
      </c>
      <c r="G329" s="91">
        <f t="shared" si="40"/>
        <v>0</v>
      </c>
      <c r="H329" s="29">
        <f t="shared" si="41"/>
        <v>0</v>
      </c>
      <c r="K329" s="9"/>
    </row>
    <row r="330" spans="1:11" ht="11.25">
      <c r="A330" s="18"/>
      <c r="B330" s="44" t="s">
        <v>127</v>
      </c>
      <c r="C330" s="18">
        <v>0</v>
      </c>
      <c r="D330" s="28">
        <f t="shared" si="38"/>
        <v>0</v>
      </c>
      <c r="E330" s="29">
        <f t="shared" si="39"/>
        <v>0</v>
      </c>
      <c r="F330" s="5">
        <v>0</v>
      </c>
      <c r="G330" s="91">
        <f t="shared" si="40"/>
        <v>0</v>
      </c>
      <c r="H330" s="29">
        <f t="shared" si="41"/>
        <v>0</v>
      </c>
      <c r="K330" s="9"/>
    </row>
    <row r="331" spans="1:11" ht="11.25">
      <c r="A331" s="18"/>
      <c r="B331" s="44" t="s">
        <v>128</v>
      </c>
      <c r="C331" s="18">
        <v>1</v>
      </c>
      <c r="D331" s="28">
        <f t="shared" si="38"/>
        <v>0.005649717514124294</v>
      </c>
      <c r="E331" s="29">
        <f t="shared" si="39"/>
        <v>0.006097560975609756</v>
      </c>
      <c r="F331" s="5">
        <v>1</v>
      </c>
      <c r="G331" s="91">
        <f t="shared" si="40"/>
        <v>0.002638522427440633</v>
      </c>
      <c r="H331" s="29">
        <f t="shared" si="41"/>
        <v>0.0028169014084507044</v>
      </c>
      <c r="K331" s="9"/>
    </row>
    <row r="332" spans="1:11" ht="11.25">
      <c r="A332" s="18"/>
      <c r="B332" s="44" t="s">
        <v>129</v>
      </c>
      <c r="C332" s="18">
        <v>0</v>
      </c>
      <c r="D332" s="28">
        <f t="shared" si="38"/>
        <v>0</v>
      </c>
      <c r="E332" s="29">
        <f t="shared" si="39"/>
        <v>0</v>
      </c>
      <c r="F332" s="5">
        <v>1</v>
      </c>
      <c r="G332" s="91">
        <f t="shared" si="40"/>
        <v>0.002638522427440633</v>
      </c>
      <c r="H332" s="29">
        <f t="shared" si="41"/>
        <v>0.0028169014084507044</v>
      </c>
      <c r="K332" s="9"/>
    </row>
    <row r="333" spans="1:11" ht="11.25">
      <c r="A333" s="18"/>
      <c r="B333" s="44" t="s">
        <v>130</v>
      </c>
      <c r="C333" s="18">
        <v>3</v>
      </c>
      <c r="D333" s="28">
        <f t="shared" si="38"/>
        <v>0.01694915254237288</v>
      </c>
      <c r="E333" s="29">
        <f t="shared" si="39"/>
        <v>0.018292682926829267</v>
      </c>
      <c r="F333" s="5">
        <v>3</v>
      </c>
      <c r="G333" s="91">
        <f t="shared" si="40"/>
        <v>0.0079155672823219</v>
      </c>
      <c r="H333" s="29">
        <f t="shared" si="41"/>
        <v>0.008450704225352112</v>
      </c>
      <c r="K333" s="9"/>
    </row>
    <row r="334" spans="1:11" ht="11.25">
      <c r="A334" s="23"/>
      <c r="B334" s="47" t="s">
        <v>18</v>
      </c>
      <c r="C334" s="23">
        <v>13</v>
      </c>
      <c r="D334" s="27">
        <f t="shared" si="38"/>
        <v>0.07344632768361582</v>
      </c>
      <c r="E334" s="30" t="s">
        <v>19</v>
      </c>
      <c r="F334" s="11">
        <v>24</v>
      </c>
      <c r="G334" s="27">
        <f t="shared" si="40"/>
        <v>0.0633245382585752</v>
      </c>
      <c r="H334" s="30" t="s">
        <v>19</v>
      </c>
      <c r="I334" s="23"/>
      <c r="J334" s="11"/>
      <c r="K334" s="12"/>
    </row>
    <row r="335" spans="1:11" ht="12.75">
      <c r="A335" s="1" t="s">
        <v>0</v>
      </c>
      <c r="B335" s="2"/>
      <c r="C335" s="2"/>
      <c r="D335" s="2"/>
      <c r="E335" s="2"/>
      <c r="F335" s="2"/>
      <c r="G335" s="2"/>
      <c r="H335" s="2"/>
      <c r="I335" s="2"/>
      <c r="J335" s="2"/>
      <c r="K335" s="4" t="s">
        <v>184</v>
      </c>
    </row>
    <row r="336" spans="1:11" ht="12.75">
      <c r="A336" s="6" t="s">
        <v>2</v>
      </c>
      <c r="B336" s="7"/>
      <c r="C336" s="7"/>
      <c r="D336" s="7"/>
      <c r="E336" s="7"/>
      <c r="F336" s="7"/>
      <c r="G336" s="7"/>
      <c r="H336" s="7"/>
      <c r="I336" s="7"/>
      <c r="J336" s="7"/>
      <c r="K336" s="9"/>
    </row>
    <row r="337" spans="1:11" ht="12.75">
      <c r="A337" s="6" t="s">
        <v>3</v>
      </c>
      <c r="B337" s="7"/>
      <c r="C337" s="7"/>
      <c r="D337" s="7"/>
      <c r="E337" s="7"/>
      <c r="F337" s="7"/>
      <c r="G337" s="7"/>
      <c r="H337" s="7"/>
      <c r="I337" s="7"/>
      <c r="J337" s="7"/>
      <c r="K337" s="9"/>
    </row>
    <row r="338" spans="1:11" ht="12.75">
      <c r="A338" s="57" t="s">
        <v>4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2"/>
    </row>
    <row r="339" spans="1:11" ht="15.75" customHeight="1">
      <c r="A339" s="13"/>
      <c r="B339" s="2"/>
      <c r="C339" s="66" t="s">
        <v>153</v>
      </c>
      <c r="D339" s="67"/>
      <c r="E339" s="67"/>
      <c r="F339" s="66" t="s">
        <v>154</v>
      </c>
      <c r="G339" s="68"/>
      <c r="H339" s="69"/>
      <c r="I339" s="18"/>
      <c r="K339" s="9"/>
    </row>
    <row r="340" spans="1:11" ht="11.25">
      <c r="A340" s="18"/>
      <c r="B340" s="9"/>
      <c r="C340" s="70"/>
      <c r="D340" s="71" t="s">
        <v>5</v>
      </c>
      <c r="E340" s="71" t="s">
        <v>5</v>
      </c>
      <c r="F340" s="72"/>
      <c r="G340" s="71" t="s">
        <v>5</v>
      </c>
      <c r="H340" s="73" t="s">
        <v>5</v>
      </c>
      <c r="I340" s="18"/>
      <c r="K340" s="9"/>
    </row>
    <row r="341" spans="1:11" ht="12.75">
      <c r="A341" s="74" t="s">
        <v>155</v>
      </c>
      <c r="B341" s="9"/>
      <c r="C341" s="70"/>
      <c r="D341" s="71" t="s">
        <v>7</v>
      </c>
      <c r="E341" s="71" t="s">
        <v>8</v>
      </c>
      <c r="F341" s="72"/>
      <c r="G341" s="71" t="s">
        <v>7</v>
      </c>
      <c r="H341" s="73" t="s">
        <v>8</v>
      </c>
      <c r="I341" s="18"/>
      <c r="K341" s="9"/>
    </row>
    <row r="342" spans="1:11" ht="11.25">
      <c r="A342" s="23"/>
      <c r="B342" s="12"/>
      <c r="C342" s="75" t="s">
        <v>9</v>
      </c>
      <c r="D342" s="75" t="s">
        <v>10</v>
      </c>
      <c r="E342" s="75" t="s">
        <v>10</v>
      </c>
      <c r="F342" s="76" t="s">
        <v>9</v>
      </c>
      <c r="G342" s="75" t="s">
        <v>10</v>
      </c>
      <c r="H342" s="77" t="s">
        <v>10</v>
      </c>
      <c r="I342" s="18"/>
      <c r="K342" s="9"/>
    </row>
    <row r="343" spans="1:11" ht="11.25">
      <c r="A343" s="53" t="s">
        <v>131</v>
      </c>
      <c r="B343" s="54" t="s">
        <v>132</v>
      </c>
      <c r="C343" s="13"/>
      <c r="D343" s="32"/>
      <c r="E343" s="33"/>
      <c r="F343" s="13"/>
      <c r="G343" s="32"/>
      <c r="H343" s="33"/>
      <c r="K343" s="9"/>
    </row>
    <row r="344" spans="1:11" ht="10.5" customHeight="1">
      <c r="A344" s="18"/>
      <c r="B344" s="45" t="s">
        <v>133</v>
      </c>
      <c r="C344" s="18">
        <v>1</v>
      </c>
      <c r="D344" s="28">
        <f aca="true" t="shared" si="42" ref="D344:D364">C344/totalm1</f>
        <v>0.005649717514124294</v>
      </c>
      <c r="E344" s="29">
        <f aca="true" t="shared" si="43" ref="E344:E363">C344/(totalm1-q10nm)</f>
        <v>0.008</v>
      </c>
      <c r="F344" s="18">
        <v>3</v>
      </c>
      <c r="G344" s="91">
        <f aca="true" t="shared" si="44" ref="G344:G364">F344/totalf1</f>
        <v>0.0079155672823219</v>
      </c>
      <c r="H344" s="29">
        <f aca="true" t="shared" si="45" ref="H344:H363">F344/(totalf1-q10nf)</f>
        <v>0.011111111111111112</v>
      </c>
      <c r="K344" s="9"/>
    </row>
    <row r="345" spans="1:11" ht="10.5" customHeight="1">
      <c r="A345" s="18"/>
      <c r="B345" s="45" t="s">
        <v>134</v>
      </c>
      <c r="C345" s="18">
        <v>1</v>
      </c>
      <c r="D345" s="28">
        <f t="shared" si="42"/>
        <v>0.005649717514124294</v>
      </c>
      <c r="E345" s="29">
        <f t="shared" si="43"/>
        <v>0.008</v>
      </c>
      <c r="F345" s="18">
        <v>0</v>
      </c>
      <c r="G345" s="91">
        <f t="shared" si="44"/>
        <v>0</v>
      </c>
      <c r="H345" s="29">
        <f t="shared" si="45"/>
        <v>0</v>
      </c>
      <c r="K345" s="9"/>
    </row>
    <row r="346" spans="1:11" ht="10.5" customHeight="1">
      <c r="A346" s="18"/>
      <c r="B346" s="45" t="s">
        <v>135</v>
      </c>
      <c r="C346" s="18">
        <v>3</v>
      </c>
      <c r="D346" s="28">
        <f t="shared" si="42"/>
        <v>0.01694915254237288</v>
      </c>
      <c r="E346" s="29">
        <f t="shared" si="43"/>
        <v>0.024</v>
      </c>
      <c r="F346" s="18">
        <v>3</v>
      </c>
      <c r="G346" s="91">
        <f t="shared" si="44"/>
        <v>0.0079155672823219</v>
      </c>
      <c r="H346" s="29">
        <f t="shared" si="45"/>
        <v>0.011111111111111112</v>
      </c>
      <c r="K346" s="9"/>
    </row>
    <row r="347" spans="1:11" ht="10.5" customHeight="1">
      <c r="A347" s="18"/>
      <c r="B347" s="45" t="s">
        <v>136</v>
      </c>
      <c r="C347" s="18">
        <v>9</v>
      </c>
      <c r="D347" s="28">
        <f t="shared" si="42"/>
        <v>0.05084745762711865</v>
      </c>
      <c r="E347" s="29">
        <f t="shared" si="43"/>
        <v>0.072</v>
      </c>
      <c r="F347" s="18">
        <v>2</v>
      </c>
      <c r="G347" s="91">
        <f t="shared" si="44"/>
        <v>0.005277044854881266</v>
      </c>
      <c r="H347" s="29">
        <f t="shared" si="45"/>
        <v>0.007407407407407408</v>
      </c>
      <c r="K347" s="9"/>
    </row>
    <row r="348" spans="1:11" ht="10.5" customHeight="1">
      <c r="A348" s="18"/>
      <c r="B348" s="45" t="s">
        <v>137</v>
      </c>
      <c r="C348" s="18">
        <v>10</v>
      </c>
      <c r="D348" s="28">
        <f t="shared" si="42"/>
        <v>0.05649717514124294</v>
      </c>
      <c r="E348" s="29">
        <f t="shared" si="43"/>
        <v>0.08</v>
      </c>
      <c r="F348" s="18">
        <v>7</v>
      </c>
      <c r="G348" s="91">
        <f t="shared" si="44"/>
        <v>0.018469656992084433</v>
      </c>
      <c r="H348" s="29">
        <f t="shared" si="45"/>
        <v>0.025925925925925925</v>
      </c>
      <c r="K348" s="9"/>
    </row>
    <row r="349" spans="1:11" ht="10.5" customHeight="1">
      <c r="A349" s="18"/>
      <c r="B349" s="45" t="s">
        <v>138</v>
      </c>
      <c r="C349" s="18">
        <v>1</v>
      </c>
      <c r="D349" s="28">
        <f t="shared" si="42"/>
        <v>0.005649717514124294</v>
      </c>
      <c r="E349" s="29">
        <f t="shared" si="43"/>
        <v>0.008</v>
      </c>
      <c r="F349" s="18">
        <v>2</v>
      </c>
      <c r="G349" s="91">
        <f t="shared" si="44"/>
        <v>0.005277044854881266</v>
      </c>
      <c r="H349" s="29">
        <f t="shared" si="45"/>
        <v>0.007407407407407408</v>
      </c>
      <c r="K349" s="9"/>
    </row>
    <row r="350" spans="1:11" ht="10.5" customHeight="1">
      <c r="A350" s="18"/>
      <c r="B350" s="45" t="s">
        <v>139</v>
      </c>
      <c r="C350" s="18">
        <v>15</v>
      </c>
      <c r="D350" s="28">
        <f t="shared" si="42"/>
        <v>0.0847457627118644</v>
      </c>
      <c r="E350" s="29">
        <f t="shared" si="43"/>
        <v>0.12</v>
      </c>
      <c r="F350" s="18">
        <v>11</v>
      </c>
      <c r="G350" s="91">
        <f t="shared" si="44"/>
        <v>0.029023746701846966</v>
      </c>
      <c r="H350" s="29">
        <f t="shared" si="45"/>
        <v>0.040740740740740744</v>
      </c>
      <c r="K350" s="9"/>
    </row>
    <row r="351" spans="1:11" ht="10.5" customHeight="1">
      <c r="A351" s="18"/>
      <c r="B351" s="45" t="s">
        <v>140</v>
      </c>
      <c r="C351" s="18">
        <v>8</v>
      </c>
      <c r="D351" s="28">
        <f t="shared" si="42"/>
        <v>0.04519774011299435</v>
      </c>
      <c r="E351" s="29">
        <f t="shared" si="43"/>
        <v>0.064</v>
      </c>
      <c r="F351" s="18">
        <v>4</v>
      </c>
      <c r="G351" s="91">
        <f t="shared" si="44"/>
        <v>0.010554089709762533</v>
      </c>
      <c r="H351" s="29">
        <f t="shared" si="45"/>
        <v>0.014814814814814815</v>
      </c>
      <c r="K351" s="9"/>
    </row>
    <row r="352" spans="1:11" ht="10.5" customHeight="1">
      <c r="A352" s="18"/>
      <c r="B352" s="45" t="s">
        <v>141</v>
      </c>
      <c r="C352" s="18">
        <v>8</v>
      </c>
      <c r="D352" s="28">
        <f t="shared" si="42"/>
        <v>0.04519774011299435</v>
      </c>
      <c r="E352" s="29">
        <f t="shared" si="43"/>
        <v>0.064</v>
      </c>
      <c r="F352" s="18">
        <v>5</v>
      </c>
      <c r="G352" s="91">
        <f t="shared" si="44"/>
        <v>0.013192612137203167</v>
      </c>
      <c r="H352" s="29">
        <f t="shared" si="45"/>
        <v>0.018518518518518517</v>
      </c>
      <c r="K352" s="9"/>
    </row>
    <row r="353" spans="1:11" ht="10.5" customHeight="1">
      <c r="A353" s="18"/>
      <c r="B353" s="45" t="s">
        <v>142</v>
      </c>
      <c r="C353" s="18">
        <v>14</v>
      </c>
      <c r="D353" s="28">
        <f t="shared" si="42"/>
        <v>0.07909604519774012</v>
      </c>
      <c r="E353" s="29">
        <f t="shared" si="43"/>
        <v>0.112</v>
      </c>
      <c r="F353" s="18">
        <v>20</v>
      </c>
      <c r="G353" s="91">
        <f t="shared" si="44"/>
        <v>0.052770448548812667</v>
      </c>
      <c r="H353" s="29">
        <f t="shared" si="45"/>
        <v>0.07407407407407407</v>
      </c>
      <c r="K353" s="9"/>
    </row>
    <row r="354" spans="1:11" ht="10.5" customHeight="1">
      <c r="A354" s="18"/>
      <c r="B354" s="45" t="s">
        <v>143</v>
      </c>
      <c r="C354" s="18">
        <v>1</v>
      </c>
      <c r="D354" s="28">
        <f t="shared" si="42"/>
        <v>0.005649717514124294</v>
      </c>
      <c r="E354" s="29">
        <f t="shared" si="43"/>
        <v>0.008</v>
      </c>
      <c r="F354" s="18">
        <v>1</v>
      </c>
      <c r="G354" s="91">
        <f t="shared" si="44"/>
        <v>0.002638522427440633</v>
      </c>
      <c r="H354" s="29">
        <f t="shared" si="45"/>
        <v>0.003703703703703704</v>
      </c>
      <c r="K354" s="9"/>
    </row>
    <row r="355" spans="1:11" ht="10.5" customHeight="1">
      <c r="A355" s="18"/>
      <c r="B355" s="45" t="s">
        <v>144</v>
      </c>
      <c r="C355" s="18">
        <v>10</v>
      </c>
      <c r="D355" s="28">
        <f t="shared" si="42"/>
        <v>0.05649717514124294</v>
      </c>
      <c r="E355" s="29">
        <f t="shared" si="43"/>
        <v>0.08</v>
      </c>
      <c r="F355" s="18">
        <v>17</v>
      </c>
      <c r="G355" s="91">
        <f t="shared" si="44"/>
        <v>0.044854881266490766</v>
      </c>
      <c r="H355" s="29">
        <f t="shared" si="45"/>
        <v>0.06296296296296296</v>
      </c>
      <c r="K355" s="9"/>
    </row>
    <row r="356" spans="1:11" ht="10.5" customHeight="1">
      <c r="A356" s="18"/>
      <c r="B356" s="45" t="s">
        <v>145</v>
      </c>
      <c r="C356" s="18">
        <v>3</v>
      </c>
      <c r="D356" s="28">
        <f t="shared" si="42"/>
        <v>0.01694915254237288</v>
      </c>
      <c r="E356" s="29">
        <f t="shared" si="43"/>
        <v>0.024</v>
      </c>
      <c r="F356" s="18">
        <v>2</v>
      </c>
      <c r="G356" s="91">
        <f t="shared" si="44"/>
        <v>0.005277044854881266</v>
      </c>
      <c r="H356" s="29">
        <f t="shared" si="45"/>
        <v>0.007407407407407408</v>
      </c>
      <c r="K356" s="9"/>
    </row>
    <row r="357" spans="1:11" ht="10.5" customHeight="1">
      <c r="A357" s="18"/>
      <c r="B357" s="45" t="s">
        <v>146</v>
      </c>
      <c r="C357" s="18">
        <v>1</v>
      </c>
      <c r="D357" s="28">
        <f t="shared" si="42"/>
        <v>0.005649717514124294</v>
      </c>
      <c r="E357" s="29">
        <f t="shared" si="43"/>
        <v>0.008</v>
      </c>
      <c r="F357" s="18">
        <v>2</v>
      </c>
      <c r="G357" s="91">
        <f t="shared" si="44"/>
        <v>0.005277044854881266</v>
      </c>
      <c r="H357" s="29">
        <f t="shared" si="45"/>
        <v>0.007407407407407408</v>
      </c>
      <c r="K357" s="9"/>
    </row>
    <row r="358" spans="1:11" ht="10.5" customHeight="1">
      <c r="A358" s="18"/>
      <c r="B358" s="45" t="s">
        <v>147</v>
      </c>
      <c r="C358" s="18">
        <v>15</v>
      </c>
      <c r="D358" s="28">
        <f t="shared" si="42"/>
        <v>0.0847457627118644</v>
      </c>
      <c r="E358" s="29">
        <f t="shared" si="43"/>
        <v>0.12</v>
      </c>
      <c r="F358" s="18">
        <v>75</v>
      </c>
      <c r="G358" s="91">
        <f t="shared" si="44"/>
        <v>0.19788918205804748</v>
      </c>
      <c r="H358" s="29">
        <f t="shared" si="45"/>
        <v>0.2777777777777778</v>
      </c>
      <c r="K358" s="9"/>
    </row>
    <row r="359" spans="1:11" ht="10.5" customHeight="1">
      <c r="A359" s="18"/>
      <c r="B359" s="45" t="s">
        <v>148</v>
      </c>
      <c r="C359" s="18">
        <v>7</v>
      </c>
      <c r="D359" s="28">
        <f t="shared" si="42"/>
        <v>0.03954802259887006</v>
      </c>
      <c r="E359" s="29">
        <f t="shared" si="43"/>
        <v>0.056</v>
      </c>
      <c r="F359" s="18">
        <v>73</v>
      </c>
      <c r="G359" s="91">
        <f t="shared" si="44"/>
        <v>0.19261213720316622</v>
      </c>
      <c r="H359" s="29">
        <f t="shared" si="45"/>
        <v>0.27037037037037037</v>
      </c>
      <c r="K359" s="9"/>
    </row>
    <row r="360" spans="1:11" ht="10.5" customHeight="1">
      <c r="A360" s="18"/>
      <c r="B360" s="45" t="s">
        <v>149</v>
      </c>
      <c r="C360" s="18">
        <v>3</v>
      </c>
      <c r="D360" s="28">
        <f t="shared" si="42"/>
        <v>0.01694915254237288</v>
      </c>
      <c r="E360" s="29">
        <f t="shared" si="43"/>
        <v>0.024</v>
      </c>
      <c r="F360" s="18">
        <v>8</v>
      </c>
      <c r="G360" s="91">
        <f t="shared" si="44"/>
        <v>0.021108179419525065</v>
      </c>
      <c r="H360" s="29">
        <f t="shared" si="45"/>
        <v>0.02962962962962963</v>
      </c>
      <c r="K360" s="9"/>
    </row>
    <row r="361" spans="1:11" ht="10.5" customHeight="1">
      <c r="A361" s="18"/>
      <c r="B361" s="45" t="s">
        <v>150</v>
      </c>
      <c r="C361" s="18">
        <v>2</v>
      </c>
      <c r="D361" s="28">
        <f t="shared" si="42"/>
        <v>0.011299435028248588</v>
      </c>
      <c r="E361" s="29">
        <f t="shared" si="43"/>
        <v>0.016</v>
      </c>
      <c r="F361" s="18">
        <v>12</v>
      </c>
      <c r="G361" s="91">
        <f t="shared" si="44"/>
        <v>0.0316622691292876</v>
      </c>
      <c r="H361" s="29">
        <f t="shared" si="45"/>
        <v>0.044444444444444446</v>
      </c>
      <c r="K361" s="9"/>
    </row>
    <row r="362" spans="1:11" ht="10.5" customHeight="1">
      <c r="A362" s="18"/>
      <c r="B362" s="45" t="s">
        <v>151</v>
      </c>
      <c r="C362" s="18">
        <v>10</v>
      </c>
      <c r="D362" s="28">
        <f t="shared" si="42"/>
        <v>0.05649717514124294</v>
      </c>
      <c r="E362" s="29">
        <f t="shared" si="43"/>
        <v>0.08</v>
      </c>
      <c r="F362" s="18">
        <v>20</v>
      </c>
      <c r="G362" s="91">
        <f t="shared" si="44"/>
        <v>0.052770448548812667</v>
      </c>
      <c r="H362" s="29">
        <f t="shared" si="45"/>
        <v>0.07407407407407407</v>
      </c>
      <c r="K362" s="9"/>
    </row>
    <row r="363" spans="1:11" ht="10.5" customHeight="1">
      <c r="A363" s="18"/>
      <c r="B363" s="45" t="s">
        <v>152</v>
      </c>
      <c r="C363" s="18">
        <v>3</v>
      </c>
      <c r="D363" s="28">
        <f t="shared" si="42"/>
        <v>0.01694915254237288</v>
      </c>
      <c r="E363" s="29">
        <f t="shared" si="43"/>
        <v>0.024</v>
      </c>
      <c r="F363" s="18">
        <v>3</v>
      </c>
      <c r="G363" s="91">
        <f t="shared" si="44"/>
        <v>0.0079155672823219</v>
      </c>
      <c r="H363" s="29">
        <f t="shared" si="45"/>
        <v>0.011111111111111112</v>
      </c>
      <c r="K363" s="9"/>
    </row>
    <row r="364" spans="1:11" ht="10.5" customHeight="1">
      <c r="A364" s="23"/>
      <c r="B364" s="55" t="s">
        <v>18</v>
      </c>
      <c r="C364" s="23">
        <v>52</v>
      </c>
      <c r="D364" s="27">
        <f t="shared" si="42"/>
        <v>0.2937853107344633</v>
      </c>
      <c r="E364" s="30" t="s">
        <v>19</v>
      </c>
      <c r="F364" s="23">
        <v>109</v>
      </c>
      <c r="G364" s="27">
        <f t="shared" si="44"/>
        <v>0.287598944591029</v>
      </c>
      <c r="H364" s="30" t="s">
        <v>19</v>
      </c>
      <c r="K364" s="9"/>
    </row>
    <row r="365" spans="1:11" ht="12" customHeight="1">
      <c r="A365" s="13"/>
      <c r="B365" s="14"/>
      <c r="C365" s="92" t="s">
        <v>185</v>
      </c>
      <c r="D365" s="93"/>
      <c r="E365" s="93"/>
      <c r="F365" s="94" t="s">
        <v>186</v>
      </c>
      <c r="G365" s="93"/>
      <c r="H365" s="93"/>
      <c r="I365" s="66" t="s">
        <v>187</v>
      </c>
      <c r="J365" s="95"/>
      <c r="K365" s="96"/>
    </row>
    <row r="366" spans="1:11" ht="12" customHeight="1">
      <c r="A366" s="18"/>
      <c r="B366" s="9"/>
      <c r="C366" s="71"/>
      <c r="D366" s="71" t="s">
        <v>5</v>
      </c>
      <c r="E366" s="71" t="s">
        <v>5</v>
      </c>
      <c r="F366" s="97"/>
      <c r="G366" s="71" t="s">
        <v>5</v>
      </c>
      <c r="H366" s="71" t="s">
        <v>5</v>
      </c>
      <c r="I366" s="97"/>
      <c r="J366" s="71" t="s">
        <v>5</v>
      </c>
      <c r="K366" s="73" t="s">
        <v>5</v>
      </c>
    </row>
    <row r="367" spans="1:11" ht="12" customHeight="1">
      <c r="A367" s="74" t="s">
        <v>188</v>
      </c>
      <c r="B367" s="98"/>
      <c r="C367" s="71"/>
      <c r="D367" s="71" t="s">
        <v>7</v>
      </c>
      <c r="E367" s="71" t="s">
        <v>8</v>
      </c>
      <c r="F367" s="97"/>
      <c r="G367" s="71" t="s">
        <v>7</v>
      </c>
      <c r="H367" s="71" t="s">
        <v>8</v>
      </c>
      <c r="I367" s="97"/>
      <c r="J367" s="71" t="s">
        <v>7</v>
      </c>
      <c r="K367" s="73" t="s">
        <v>8</v>
      </c>
    </row>
    <row r="368" spans="1:11" ht="12" customHeight="1">
      <c r="A368" s="23"/>
      <c r="B368" s="12"/>
      <c r="C368" s="75" t="s">
        <v>9</v>
      </c>
      <c r="D368" s="75" t="s">
        <v>10</v>
      </c>
      <c r="E368" s="75" t="s">
        <v>10</v>
      </c>
      <c r="F368" s="76" t="s">
        <v>9</v>
      </c>
      <c r="G368" s="75" t="s">
        <v>10</v>
      </c>
      <c r="H368" s="75" t="s">
        <v>10</v>
      </c>
      <c r="I368" s="76" t="s">
        <v>9</v>
      </c>
      <c r="J368" s="75" t="s">
        <v>10</v>
      </c>
      <c r="K368" s="77" t="s">
        <v>10</v>
      </c>
    </row>
    <row r="369" spans="1:11" ht="10.5" customHeight="1">
      <c r="A369" s="23" t="s">
        <v>11</v>
      </c>
      <c r="B369" s="12"/>
      <c r="C369" s="11">
        <v>582</v>
      </c>
      <c r="D369" s="59">
        <v>1</v>
      </c>
      <c r="E369" s="59"/>
      <c r="F369" s="23">
        <v>41</v>
      </c>
      <c r="G369" s="59">
        <v>1</v>
      </c>
      <c r="H369" s="59"/>
      <c r="I369" s="23">
        <v>22</v>
      </c>
      <c r="J369" s="59">
        <v>1</v>
      </c>
      <c r="K369" s="81"/>
    </row>
    <row r="370" spans="1:11" ht="11.25">
      <c r="A370" s="18" t="s">
        <v>12</v>
      </c>
      <c r="B370" s="9" t="s">
        <v>13</v>
      </c>
      <c r="C370" s="7"/>
      <c r="D370" s="49"/>
      <c r="E370" s="49"/>
      <c r="F370" s="18"/>
      <c r="G370" s="49"/>
      <c r="H370" s="49"/>
      <c r="I370" s="18"/>
      <c r="J370" s="49"/>
      <c r="K370" s="50"/>
    </row>
    <row r="371" spans="1:11" ht="10.5" customHeight="1">
      <c r="A371" s="18"/>
      <c r="B371" s="9" t="s">
        <v>156</v>
      </c>
      <c r="C371" s="7">
        <v>406</v>
      </c>
      <c r="D371" s="49">
        <f>C371/totalw</f>
        <v>0.697594501718213</v>
      </c>
      <c r="E371" s="49">
        <f>C371/(totalw-q1nw)</f>
        <v>0.6987951807228916</v>
      </c>
      <c r="F371" s="18">
        <v>26</v>
      </c>
      <c r="G371" s="49">
        <f>F371/totalb</f>
        <v>0.6341463414634146</v>
      </c>
      <c r="H371" s="49">
        <f>F371/(totalb-q1nb)</f>
        <v>0.6341463414634146</v>
      </c>
      <c r="I371" s="18">
        <v>13</v>
      </c>
      <c r="J371" s="49">
        <f>I371/totalo</f>
        <v>0.5909090909090909</v>
      </c>
      <c r="K371" s="50">
        <f>I371/(totalo-q1no)</f>
        <v>0.6190476190476191</v>
      </c>
    </row>
    <row r="372" spans="1:11" ht="10.5" customHeight="1">
      <c r="A372" s="18"/>
      <c r="B372" s="9" t="s">
        <v>157</v>
      </c>
      <c r="C372" s="7">
        <v>99</v>
      </c>
      <c r="D372" s="49">
        <f>C372/totalw</f>
        <v>0.17010309278350516</v>
      </c>
      <c r="E372" s="49">
        <f>C372/(totalw-q1nw)</f>
        <v>0.1703958691910499</v>
      </c>
      <c r="F372" s="18">
        <v>10</v>
      </c>
      <c r="G372" s="49">
        <f>F372/totalb</f>
        <v>0.24390243902439024</v>
      </c>
      <c r="H372" s="49">
        <f>F372/(totalb-q1nb)</f>
        <v>0.24390243902439024</v>
      </c>
      <c r="I372" s="18">
        <v>2</v>
      </c>
      <c r="J372" s="49">
        <f>I372/totalo</f>
        <v>0.09090909090909091</v>
      </c>
      <c r="K372" s="50">
        <f>I372/(totalo-q1no)</f>
        <v>0.09523809523809523</v>
      </c>
    </row>
    <row r="373" spans="1:11" ht="10.5" customHeight="1">
      <c r="A373" s="18"/>
      <c r="B373" s="9" t="s">
        <v>158</v>
      </c>
      <c r="C373" s="7">
        <v>38</v>
      </c>
      <c r="D373" s="49">
        <f>C373/totalw</f>
        <v>0.06529209621993128</v>
      </c>
      <c r="E373" s="49">
        <f>C373/(totalw-q1nw)</f>
        <v>0.06540447504302926</v>
      </c>
      <c r="F373" s="18">
        <v>2</v>
      </c>
      <c r="G373" s="49">
        <f>F373/totalb</f>
        <v>0.04878048780487805</v>
      </c>
      <c r="H373" s="49">
        <f>F373/(totalb-q1nb)</f>
        <v>0.04878048780487805</v>
      </c>
      <c r="I373" s="18">
        <v>4</v>
      </c>
      <c r="J373" s="49">
        <f>I373/totalo</f>
        <v>0.18181818181818182</v>
      </c>
      <c r="K373" s="50">
        <f>I373/(totalo-q1no)</f>
        <v>0.19047619047619047</v>
      </c>
    </row>
    <row r="374" spans="1:11" ht="10.5" customHeight="1">
      <c r="A374" s="18"/>
      <c r="B374" s="9" t="s">
        <v>159</v>
      </c>
      <c r="C374" s="7">
        <v>38</v>
      </c>
      <c r="D374" s="49">
        <f>C374/totalw</f>
        <v>0.06529209621993128</v>
      </c>
      <c r="E374" s="49">
        <f>C374/(totalw-q1nw)</f>
        <v>0.06540447504302926</v>
      </c>
      <c r="F374" s="18">
        <v>3</v>
      </c>
      <c r="G374" s="49">
        <f>F374/totalb</f>
        <v>0.07317073170731707</v>
      </c>
      <c r="H374" s="49">
        <f>F374/(totalb-q1nb)</f>
        <v>0.07317073170731707</v>
      </c>
      <c r="I374" s="18">
        <v>2</v>
      </c>
      <c r="J374" s="49">
        <f>I374/totalo</f>
        <v>0.09090909090909091</v>
      </c>
      <c r="K374" s="50">
        <f>I374/(totalo-q1no)</f>
        <v>0.09523809523809523</v>
      </c>
    </row>
    <row r="375" spans="1:11" ht="10.5" customHeight="1">
      <c r="A375" s="23"/>
      <c r="B375" s="12" t="s">
        <v>160</v>
      </c>
      <c r="C375" s="11">
        <v>1</v>
      </c>
      <c r="D375" s="59">
        <f>C375/totalw</f>
        <v>0.001718213058419244</v>
      </c>
      <c r="E375" s="78" t="s">
        <v>19</v>
      </c>
      <c r="F375" s="23">
        <v>0</v>
      </c>
      <c r="G375" s="59">
        <f>F375/totalb</f>
        <v>0</v>
      </c>
      <c r="H375" s="78" t="s">
        <v>19</v>
      </c>
      <c r="I375" s="23">
        <v>1</v>
      </c>
      <c r="J375" s="59">
        <f>I375/totalo</f>
        <v>0.045454545454545456</v>
      </c>
      <c r="K375" s="79" t="s">
        <v>19</v>
      </c>
    </row>
    <row r="376" spans="1:11" ht="1.5" customHeight="1">
      <c r="A376" s="23"/>
      <c r="B376" s="12"/>
      <c r="C376" s="11"/>
      <c r="D376" s="59"/>
      <c r="E376" s="59"/>
      <c r="F376" s="23"/>
      <c r="G376" s="59"/>
      <c r="H376" s="59"/>
      <c r="I376" s="23"/>
      <c r="J376" s="59"/>
      <c r="K376" s="81"/>
    </row>
    <row r="377" spans="1:11" ht="25.5" customHeight="1">
      <c r="A377" s="18"/>
      <c r="B377" s="9"/>
      <c r="C377" s="7"/>
      <c r="D377" s="49"/>
      <c r="E377" s="49"/>
      <c r="F377" s="18"/>
      <c r="G377" s="49"/>
      <c r="H377" s="49"/>
      <c r="I377" s="18"/>
      <c r="J377" s="49"/>
      <c r="K377" s="50"/>
    </row>
    <row r="378" spans="1:11" ht="11.25">
      <c r="A378" s="23"/>
      <c r="B378" s="12"/>
      <c r="C378" s="11">
        <f>SUM(C371:C372)</f>
        <v>505</v>
      </c>
      <c r="D378" s="59">
        <v>1</v>
      </c>
      <c r="E378" s="59"/>
      <c r="F378" s="23">
        <f>SUM(F371:F372)</f>
        <v>36</v>
      </c>
      <c r="G378" s="59">
        <v>1</v>
      </c>
      <c r="H378" s="81"/>
      <c r="I378" s="11">
        <f>SUM(I371:I372)</f>
        <v>15</v>
      </c>
      <c r="J378" s="59">
        <v>1</v>
      </c>
      <c r="K378" s="81"/>
    </row>
    <row r="379" spans="1:11" ht="11.25">
      <c r="A379" s="18" t="str">
        <f>"2."</f>
        <v>2.</v>
      </c>
      <c r="B379" s="9" t="s">
        <v>21</v>
      </c>
      <c r="C379" s="7"/>
      <c r="D379" s="49"/>
      <c r="E379" s="49"/>
      <c r="F379" s="18"/>
      <c r="G379" s="49"/>
      <c r="H379" s="49"/>
      <c r="I379" s="18"/>
      <c r="J379" s="49"/>
      <c r="K379" s="50"/>
    </row>
    <row r="380" spans="1:11" ht="10.5" customHeight="1">
      <c r="A380" s="18"/>
      <c r="B380" s="9" t="s">
        <v>22</v>
      </c>
      <c r="C380" s="7">
        <v>313</v>
      </c>
      <c r="D380" s="49">
        <f>C380/totalw1</f>
        <v>0.6198019801980198</v>
      </c>
      <c r="E380" s="49">
        <f>C380/(totalw1-q2nw)</f>
        <v>0.6716738197424893</v>
      </c>
      <c r="F380" s="18">
        <v>21</v>
      </c>
      <c r="G380" s="49">
        <f>F380/totalb1</f>
        <v>0.5833333333333334</v>
      </c>
      <c r="H380" s="49">
        <f>F380/(totalb1-q2nb)</f>
        <v>0.6176470588235294</v>
      </c>
      <c r="I380" s="18">
        <v>8</v>
      </c>
      <c r="J380" s="49">
        <f>I380/totalo1</f>
        <v>0.5333333333333333</v>
      </c>
      <c r="K380" s="50">
        <f>I380/(totalo1-q2no)</f>
        <v>0.6666666666666666</v>
      </c>
    </row>
    <row r="381" spans="1:11" ht="10.5" customHeight="1">
      <c r="A381" s="18"/>
      <c r="B381" s="9" t="s">
        <v>23</v>
      </c>
      <c r="C381" s="7">
        <v>116</v>
      </c>
      <c r="D381" s="49">
        <f>C381/totalw1</f>
        <v>0.2297029702970297</v>
      </c>
      <c r="E381" s="49">
        <f>C381/(totalw1-q2nw)</f>
        <v>0.24892703862660945</v>
      </c>
      <c r="F381" s="18">
        <v>12</v>
      </c>
      <c r="G381" s="49">
        <f>F381/totalb1</f>
        <v>0.3333333333333333</v>
      </c>
      <c r="H381" s="49">
        <f>F381/(totalb1-q2nb)</f>
        <v>0.35294117647058826</v>
      </c>
      <c r="I381" s="18">
        <v>2</v>
      </c>
      <c r="J381" s="49">
        <f>I381/totalo1</f>
        <v>0.13333333333333333</v>
      </c>
      <c r="K381" s="50">
        <f>I381/(totalo1-q2no)</f>
        <v>0.16666666666666666</v>
      </c>
    </row>
    <row r="382" spans="1:11" ht="10.5" customHeight="1">
      <c r="A382" s="18"/>
      <c r="B382" s="9" t="s">
        <v>24</v>
      </c>
      <c r="C382" s="7">
        <v>37</v>
      </c>
      <c r="D382" s="49">
        <f>C382/totalw1</f>
        <v>0.07326732673267326</v>
      </c>
      <c r="E382" s="49">
        <f>C382/(totalw1-q2nw)</f>
        <v>0.07939914163090128</v>
      </c>
      <c r="F382" s="18">
        <v>1</v>
      </c>
      <c r="G382" s="49">
        <f>F382/totalb1</f>
        <v>0.027777777777777776</v>
      </c>
      <c r="H382" s="49">
        <f>F382/(totalb1-q2nb)</f>
        <v>0.029411764705882353</v>
      </c>
      <c r="I382" s="18">
        <v>2</v>
      </c>
      <c r="J382" s="49">
        <f>I382/totalo1</f>
        <v>0.13333333333333333</v>
      </c>
      <c r="K382" s="50">
        <f>I382/(totalo1-q2no)</f>
        <v>0.16666666666666666</v>
      </c>
    </row>
    <row r="383" spans="1:11" ht="10.5" customHeight="1">
      <c r="A383" s="23"/>
      <c r="B383" s="12" t="s">
        <v>18</v>
      </c>
      <c r="C383" s="11">
        <v>39</v>
      </c>
      <c r="D383" s="59">
        <f>C383/totalw1</f>
        <v>0.07722772277227723</v>
      </c>
      <c r="E383" s="78" t="s">
        <v>19</v>
      </c>
      <c r="F383" s="23">
        <v>2</v>
      </c>
      <c r="G383" s="59">
        <f>F383/totalb1</f>
        <v>0.05555555555555555</v>
      </c>
      <c r="H383" s="78" t="s">
        <v>19</v>
      </c>
      <c r="I383" s="23">
        <v>3</v>
      </c>
      <c r="J383" s="59">
        <f>I383/totalo1</f>
        <v>0.2</v>
      </c>
      <c r="K383" s="79" t="s">
        <v>19</v>
      </c>
    </row>
    <row r="384" spans="1:11" ht="11.25">
      <c r="A384" s="85" t="s">
        <v>189</v>
      </c>
      <c r="B384" s="87"/>
      <c r="C384" s="87"/>
      <c r="D384" s="99"/>
      <c r="E384" s="100"/>
      <c r="F384" s="87"/>
      <c r="G384" s="99"/>
      <c r="H384" s="100"/>
      <c r="I384" s="87"/>
      <c r="J384" s="99"/>
      <c r="K384" s="101"/>
    </row>
    <row r="385" spans="1:11" ht="12.75">
      <c r="A385" s="1" t="s">
        <v>0</v>
      </c>
      <c r="B385" s="2"/>
      <c r="C385" s="2"/>
      <c r="D385" s="2"/>
      <c r="E385" s="2"/>
      <c r="F385" s="2"/>
      <c r="G385" s="2"/>
      <c r="H385" s="2"/>
      <c r="I385" s="2"/>
      <c r="J385" s="2"/>
      <c r="K385" s="4" t="s">
        <v>190</v>
      </c>
    </row>
    <row r="386" spans="1:11" ht="12.75">
      <c r="A386" s="6" t="s">
        <v>2</v>
      </c>
      <c r="B386" s="7"/>
      <c r="C386" s="7"/>
      <c r="D386" s="7"/>
      <c r="E386" s="7"/>
      <c r="F386" s="7"/>
      <c r="G386" s="7"/>
      <c r="H386" s="7"/>
      <c r="I386" s="7"/>
      <c r="J386" s="7"/>
      <c r="K386" s="9"/>
    </row>
    <row r="387" spans="1:11" ht="12.75">
      <c r="A387" s="6" t="s">
        <v>3</v>
      </c>
      <c r="B387" s="7"/>
      <c r="C387" s="7"/>
      <c r="D387" s="7"/>
      <c r="E387" s="7"/>
      <c r="F387" s="7"/>
      <c r="G387" s="7"/>
      <c r="H387" s="7"/>
      <c r="I387" s="7"/>
      <c r="J387" s="7"/>
      <c r="K387" s="9"/>
    </row>
    <row r="388" spans="1:11" ht="12.75">
      <c r="A388" s="57" t="s">
        <v>4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2"/>
    </row>
    <row r="389" spans="1:11" ht="12" customHeight="1">
      <c r="A389" s="13"/>
      <c r="B389" s="14"/>
      <c r="C389" s="92" t="s">
        <v>185</v>
      </c>
      <c r="D389" s="102"/>
      <c r="E389" s="102"/>
      <c r="F389" s="94" t="s">
        <v>186</v>
      </c>
      <c r="G389" s="102"/>
      <c r="H389" s="102"/>
      <c r="I389" s="66" t="s">
        <v>187</v>
      </c>
      <c r="J389" s="95"/>
      <c r="K389" s="96"/>
    </row>
    <row r="390" spans="1:11" ht="12" customHeight="1">
      <c r="A390" s="18"/>
      <c r="B390" s="9"/>
      <c r="C390" s="71"/>
      <c r="D390" s="71" t="s">
        <v>5</v>
      </c>
      <c r="E390" s="71" t="s">
        <v>5</v>
      </c>
      <c r="F390" s="97"/>
      <c r="G390" s="71" t="s">
        <v>5</v>
      </c>
      <c r="H390" s="71" t="s">
        <v>5</v>
      </c>
      <c r="I390" s="97"/>
      <c r="J390" s="71" t="s">
        <v>5</v>
      </c>
      <c r="K390" s="73" t="s">
        <v>5</v>
      </c>
    </row>
    <row r="391" spans="1:11" ht="12" customHeight="1">
      <c r="A391" s="74" t="s">
        <v>188</v>
      </c>
      <c r="B391" s="98"/>
      <c r="C391" s="71"/>
      <c r="D391" s="71" t="s">
        <v>7</v>
      </c>
      <c r="E391" s="71" t="s">
        <v>8</v>
      </c>
      <c r="F391" s="97"/>
      <c r="G391" s="71" t="s">
        <v>7</v>
      </c>
      <c r="H391" s="71" t="s">
        <v>8</v>
      </c>
      <c r="I391" s="97"/>
      <c r="J391" s="71" t="s">
        <v>7</v>
      </c>
      <c r="K391" s="73" t="s">
        <v>8</v>
      </c>
    </row>
    <row r="392" spans="1:11" ht="12" customHeight="1">
      <c r="A392" s="23"/>
      <c r="B392" s="12"/>
      <c r="C392" s="75" t="s">
        <v>9</v>
      </c>
      <c r="D392" s="75" t="s">
        <v>10</v>
      </c>
      <c r="E392" s="75" t="s">
        <v>10</v>
      </c>
      <c r="F392" s="76" t="s">
        <v>9</v>
      </c>
      <c r="G392" s="75" t="s">
        <v>10</v>
      </c>
      <c r="H392" s="75" t="s">
        <v>10</v>
      </c>
      <c r="I392" s="76" t="s">
        <v>9</v>
      </c>
      <c r="J392" s="75" t="s">
        <v>10</v>
      </c>
      <c r="K392" s="77" t="s">
        <v>10</v>
      </c>
    </row>
    <row r="393" spans="1:11" ht="11.25">
      <c r="A393" s="13" t="str">
        <f>"3."</f>
        <v>3.</v>
      </c>
      <c r="B393" s="14" t="s">
        <v>25</v>
      </c>
      <c r="C393" s="7"/>
      <c r="D393" s="49"/>
      <c r="E393" s="49"/>
      <c r="F393" s="18"/>
      <c r="G393" s="49"/>
      <c r="H393" s="49"/>
      <c r="I393" s="18"/>
      <c r="J393" s="49"/>
      <c r="K393" s="50"/>
    </row>
    <row r="394" spans="1:11" ht="11.25">
      <c r="A394" s="18"/>
      <c r="B394" s="9" t="s">
        <v>26</v>
      </c>
      <c r="C394" s="7">
        <v>18</v>
      </c>
      <c r="D394" s="49">
        <f aca="true" t="shared" si="46" ref="D394:D404">C394/totalw1</f>
        <v>0.03564356435643564</v>
      </c>
      <c r="E394" s="49">
        <f aca="true" t="shared" si="47" ref="E394:E403">C394/(totalw1-q3nw)</f>
        <v>0.03571428571428571</v>
      </c>
      <c r="F394" s="18">
        <v>0</v>
      </c>
      <c r="G394" s="49">
        <f aca="true" t="shared" si="48" ref="G394:G404">F394/totalb1</f>
        <v>0</v>
      </c>
      <c r="H394" s="49">
        <f aca="true" t="shared" si="49" ref="H394:H403">F394/(totalb1-q3nb)</f>
        <v>0</v>
      </c>
      <c r="I394" s="18">
        <v>1</v>
      </c>
      <c r="J394" s="49">
        <f aca="true" t="shared" si="50" ref="J394:J404">I394/totalo1</f>
        <v>0.06666666666666667</v>
      </c>
      <c r="K394" s="50">
        <f aca="true" t="shared" si="51" ref="K394:K403">I394/(totalo1-q3no)</f>
        <v>0.06666666666666667</v>
      </c>
    </row>
    <row r="395" spans="1:11" ht="11.25">
      <c r="A395" s="18"/>
      <c r="B395" s="9" t="s">
        <v>27</v>
      </c>
      <c r="C395" s="7">
        <v>176</v>
      </c>
      <c r="D395" s="49">
        <f t="shared" si="46"/>
        <v>0.3485148514851485</v>
      </c>
      <c r="E395" s="49">
        <f t="shared" si="47"/>
        <v>0.3492063492063492</v>
      </c>
      <c r="F395" s="18">
        <v>7</v>
      </c>
      <c r="G395" s="49">
        <f t="shared" si="48"/>
        <v>0.19444444444444445</v>
      </c>
      <c r="H395" s="49">
        <f t="shared" si="49"/>
        <v>0.19444444444444445</v>
      </c>
      <c r="I395" s="18">
        <v>3</v>
      </c>
      <c r="J395" s="49">
        <f t="shared" si="50"/>
        <v>0.2</v>
      </c>
      <c r="K395" s="50">
        <f t="shared" si="51"/>
        <v>0.2</v>
      </c>
    </row>
    <row r="396" spans="1:11" ht="11.25">
      <c r="A396" s="18"/>
      <c r="B396" s="9" t="s">
        <v>28</v>
      </c>
      <c r="C396" s="7">
        <v>29</v>
      </c>
      <c r="D396" s="49">
        <f t="shared" si="46"/>
        <v>0.05742574257425743</v>
      </c>
      <c r="E396" s="49">
        <f t="shared" si="47"/>
        <v>0.057539682539682536</v>
      </c>
      <c r="F396" s="18">
        <v>1</v>
      </c>
      <c r="G396" s="49">
        <f t="shared" si="48"/>
        <v>0.027777777777777776</v>
      </c>
      <c r="H396" s="49">
        <f t="shared" si="49"/>
        <v>0.027777777777777776</v>
      </c>
      <c r="I396" s="18">
        <v>1</v>
      </c>
      <c r="J396" s="49">
        <f t="shared" si="50"/>
        <v>0.06666666666666667</v>
      </c>
      <c r="K396" s="50">
        <f t="shared" si="51"/>
        <v>0.06666666666666667</v>
      </c>
    </row>
    <row r="397" spans="1:11" ht="11.25">
      <c r="A397" s="18"/>
      <c r="B397" s="9" t="s">
        <v>29</v>
      </c>
      <c r="C397" s="7">
        <v>39</v>
      </c>
      <c r="D397" s="49">
        <f t="shared" si="46"/>
        <v>0.07722772277227723</v>
      </c>
      <c r="E397" s="49">
        <f t="shared" si="47"/>
        <v>0.07738095238095238</v>
      </c>
      <c r="F397" s="18">
        <v>3</v>
      </c>
      <c r="G397" s="49">
        <f t="shared" si="48"/>
        <v>0.08333333333333333</v>
      </c>
      <c r="H397" s="49">
        <f t="shared" si="49"/>
        <v>0.08333333333333333</v>
      </c>
      <c r="I397" s="18">
        <v>2</v>
      </c>
      <c r="J397" s="49">
        <f t="shared" si="50"/>
        <v>0.13333333333333333</v>
      </c>
      <c r="K397" s="50">
        <f t="shared" si="51"/>
        <v>0.13333333333333333</v>
      </c>
    </row>
    <row r="398" spans="1:11" ht="11.25">
      <c r="A398" s="18"/>
      <c r="B398" s="9" t="s">
        <v>30</v>
      </c>
      <c r="C398" s="7">
        <v>88</v>
      </c>
      <c r="D398" s="49">
        <f t="shared" si="46"/>
        <v>0.17425742574257425</v>
      </c>
      <c r="E398" s="49">
        <f t="shared" si="47"/>
        <v>0.1746031746031746</v>
      </c>
      <c r="F398" s="18">
        <v>10</v>
      </c>
      <c r="G398" s="49">
        <f t="shared" si="48"/>
        <v>0.2777777777777778</v>
      </c>
      <c r="H398" s="49">
        <f t="shared" si="49"/>
        <v>0.2777777777777778</v>
      </c>
      <c r="I398" s="18">
        <v>2</v>
      </c>
      <c r="J398" s="49">
        <f t="shared" si="50"/>
        <v>0.13333333333333333</v>
      </c>
      <c r="K398" s="50">
        <f t="shared" si="51"/>
        <v>0.13333333333333333</v>
      </c>
    </row>
    <row r="399" spans="1:11" ht="11.25">
      <c r="A399" s="18"/>
      <c r="B399" s="9" t="s">
        <v>31</v>
      </c>
      <c r="C399" s="7">
        <v>69</v>
      </c>
      <c r="D399" s="49">
        <f t="shared" si="46"/>
        <v>0.13663366336633664</v>
      </c>
      <c r="E399" s="49">
        <f t="shared" si="47"/>
        <v>0.13690476190476192</v>
      </c>
      <c r="F399" s="18">
        <v>7</v>
      </c>
      <c r="G399" s="49">
        <f t="shared" si="48"/>
        <v>0.19444444444444445</v>
      </c>
      <c r="H399" s="49">
        <f t="shared" si="49"/>
        <v>0.19444444444444445</v>
      </c>
      <c r="I399" s="18">
        <v>2</v>
      </c>
      <c r="J399" s="49">
        <f t="shared" si="50"/>
        <v>0.13333333333333333</v>
      </c>
      <c r="K399" s="50">
        <f t="shared" si="51"/>
        <v>0.13333333333333333</v>
      </c>
    </row>
    <row r="400" spans="1:11" ht="11.25">
      <c r="A400" s="18"/>
      <c r="B400" s="9" t="s">
        <v>32</v>
      </c>
      <c r="C400" s="7">
        <v>29</v>
      </c>
      <c r="D400" s="49">
        <f t="shared" si="46"/>
        <v>0.05742574257425743</v>
      </c>
      <c r="E400" s="49">
        <f t="shared" si="47"/>
        <v>0.057539682539682536</v>
      </c>
      <c r="F400" s="18">
        <v>3</v>
      </c>
      <c r="G400" s="49">
        <f t="shared" si="48"/>
        <v>0.08333333333333333</v>
      </c>
      <c r="H400" s="49">
        <f t="shared" si="49"/>
        <v>0.08333333333333333</v>
      </c>
      <c r="I400" s="18">
        <v>3</v>
      </c>
      <c r="J400" s="49">
        <f t="shared" si="50"/>
        <v>0.2</v>
      </c>
      <c r="K400" s="50">
        <f t="shared" si="51"/>
        <v>0.2</v>
      </c>
    </row>
    <row r="401" spans="1:11" ht="11.25">
      <c r="A401" s="18"/>
      <c r="B401" s="9" t="s">
        <v>33</v>
      </c>
      <c r="C401" s="7">
        <v>5</v>
      </c>
      <c r="D401" s="49">
        <f t="shared" si="46"/>
        <v>0.009900990099009901</v>
      </c>
      <c r="E401" s="49">
        <f t="shared" si="47"/>
        <v>0.00992063492063492</v>
      </c>
      <c r="F401" s="18">
        <v>0</v>
      </c>
      <c r="G401" s="49">
        <f t="shared" si="48"/>
        <v>0</v>
      </c>
      <c r="H401" s="49">
        <f t="shared" si="49"/>
        <v>0</v>
      </c>
      <c r="I401" s="18">
        <v>1</v>
      </c>
      <c r="J401" s="49">
        <f t="shared" si="50"/>
        <v>0.06666666666666667</v>
      </c>
      <c r="K401" s="50">
        <f t="shared" si="51"/>
        <v>0.06666666666666667</v>
      </c>
    </row>
    <row r="402" spans="1:11" ht="11.25">
      <c r="A402" s="18"/>
      <c r="B402" s="9" t="s">
        <v>34</v>
      </c>
      <c r="C402" s="7">
        <v>24</v>
      </c>
      <c r="D402" s="49">
        <f t="shared" si="46"/>
        <v>0.047524752475247525</v>
      </c>
      <c r="E402" s="49">
        <f t="shared" si="47"/>
        <v>0.047619047619047616</v>
      </c>
      <c r="F402" s="18">
        <v>3</v>
      </c>
      <c r="G402" s="49">
        <f t="shared" si="48"/>
        <v>0.08333333333333333</v>
      </c>
      <c r="H402" s="49">
        <f t="shared" si="49"/>
        <v>0.08333333333333333</v>
      </c>
      <c r="I402" s="18">
        <v>0</v>
      </c>
      <c r="J402" s="49">
        <f t="shared" si="50"/>
        <v>0</v>
      </c>
      <c r="K402" s="50">
        <f t="shared" si="51"/>
        <v>0</v>
      </c>
    </row>
    <row r="403" spans="1:11" ht="11.25">
      <c r="A403" s="18"/>
      <c r="B403" s="9" t="s">
        <v>24</v>
      </c>
      <c r="C403" s="7">
        <v>27</v>
      </c>
      <c r="D403" s="49">
        <f t="shared" si="46"/>
        <v>0.053465346534653464</v>
      </c>
      <c r="E403" s="49">
        <f t="shared" si="47"/>
        <v>0.05357142857142857</v>
      </c>
      <c r="F403" s="18">
        <v>2</v>
      </c>
      <c r="G403" s="49">
        <f t="shared" si="48"/>
        <v>0.05555555555555555</v>
      </c>
      <c r="H403" s="49">
        <f t="shared" si="49"/>
        <v>0.05555555555555555</v>
      </c>
      <c r="I403" s="18">
        <v>0</v>
      </c>
      <c r="J403" s="49">
        <f t="shared" si="50"/>
        <v>0</v>
      </c>
      <c r="K403" s="50">
        <f t="shared" si="51"/>
        <v>0</v>
      </c>
    </row>
    <row r="404" spans="1:11" ht="11.25">
      <c r="A404" s="23"/>
      <c r="B404" s="12" t="s">
        <v>18</v>
      </c>
      <c r="C404" s="11">
        <v>1</v>
      </c>
      <c r="D404" s="59">
        <f t="shared" si="46"/>
        <v>0.0019801980198019802</v>
      </c>
      <c r="E404" s="78" t="s">
        <v>19</v>
      </c>
      <c r="F404" s="23">
        <v>0</v>
      </c>
      <c r="G404" s="59">
        <f t="shared" si="48"/>
        <v>0</v>
      </c>
      <c r="H404" s="78" t="s">
        <v>19</v>
      </c>
      <c r="I404" s="23">
        <v>0</v>
      </c>
      <c r="J404" s="59">
        <f t="shared" si="50"/>
        <v>0</v>
      </c>
      <c r="K404" s="79" t="s">
        <v>19</v>
      </c>
    </row>
    <row r="405" spans="1:11" ht="11.25">
      <c r="A405" s="18" t="s">
        <v>35</v>
      </c>
      <c r="B405" s="9" t="s">
        <v>36</v>
      </c>
      <c r="C405" s="7"/>
      <c r="D405" s="49"/>
      <c r="E405" s="49"/>
      <c r="F405" s="18"/>
      <c r="G405" s="49"/>
      <c r="H405" s="49"/>
      <c r="I405" s="18"/>
      <c r="J405" s="49"/>
      <c r="K405" s="50"/>
    </row>
    <row r="406" spans="1:11" ht="11.25">
      <c r="A406" s="18"/>
      <c r="B406" s="9" t="s">
        <v>163</v>
      </c>
      <c r="C406" s="7">
        <v>142</v>
      </c>
      <c r="D406" s="49">
        <f aca="true" t="shared" si="52" ref="D406:D412">C406/totalw1</f>
        <v>0.2811881188118812</v>
      </c>
      <c r="E406" s="49">
        <f aca="true" t="shared" si="53" ref="E406:E411">C406/(totalw1-q4nw)</f>
        <v>0.2823061630218688</v>
      </c>
      <c r="F406" s="18">
        <v>11</v>
      </c>
      <c r="G406" s="49">
        <f aca="true" t="shared" si="54" ref="G406:G412">F406/totalb1</f>
        <v>0.3055555555555556</v>
      </c>
      <c r="H406" s="49">
        <f aca="true" t="shared" si="55" ref="H406:H411">F406/(totalb1-q4nb)</f>
        <v>0.3142857142857143</v>
      </c>
      <c r="I406" s="18">
        <v>6</v>
      </c>
      <c r="J406" s="49">
        <f aca="true" t="shared" si="56" ref="J406:J412">I406/totalo1</f>
        <v>0.4</v>
      </c>
      <c r="K406" s="50">
        <f aca="true" t="shared" si="57" ref="K406:K411">I406/(totalo1-q4no)</f>
        <v>0.4</v>
      </c>
    </row>
    <row r="407" spans="1:11" ht="11.25">
      <c r="A407" s="18"/>
      <c r="B407" s="9" t="s">
        <v>164</v>
      </c>
      <c r="C407" s="7">
        <v>191</v>
      </c>
      <c r="D407" s="49">
        <f t="shared" si="52"/>
        <v>0.3782178217821782</v>
      </c>
      <c r="E407" s="49">
        <f t="shared" si="53"/>
        <v>0.3797216699801193</v>
      </c>
      <c r="F407" s="18">
        <v>8</v>
      </c>
      <c r="G407" s="49">
        <f t="shared" si="54"/>
        <v>0.2222222222222222</v>
      </c>
      <c r="H407" s="49">
        <f t="shared" si="55"/>
        <v>0.22857142857142856</v>
      </c>
      <c r="I407" s="18">
        <v>4</v>
      </c>
      <c r="J407" s="49">
        <f t="shared" si="56"/>
        <v>0.26666666666666666</v>
      </c>
      <c r="K407" s="50">
        <f t="shared" si="57"/>
        <v>0.26666666666666666</v>
      </c>
    </row>
    <row r="408" spans="1:11" ht="11.25">
      <c r="A408" s="18"/>
      <c r="B408" s="9" t="s">
        <v>165</v>
      </c>
      <c r="C408" s="7">
        <v>99</v>
      </c>
      <c r="D408" s="49">
        <f t="shared" si="52"/>
        <v>0.19603960396039605</v>
      </c>
      <c r="E408" s="49">
        <f t="shared" si="53"/>
        <v>0.19681908548707752</v>
      </c>
      <c r="F408" s="18">
        <v>9</v>
      </c>
      <c r="G408" s="49">
        <f t="shared" si="54"/>
        <v>0.25</v>
      </c>
      <c r="H408" s="49">
        <f t="shared" si="55"/>
        <v>0.2571428571428571</v>
      </c>
      <c r="I408" s="18">
        <v>5</v>
      </c>
      <c r="J408" s="49">
        <f t="shared" si="56"/>
        <v>0.3333333333333333</v>
      </c>
      <c r="K408" s="50">
        <f t="shared" si="57"/>
        <v>0.3333333333333333</v>
      </c>
    </row>
    <row r="409" spans="1:11" ht="11.25">
      <c r="A409" s="18"/>
      <c r="B409" s="9" t="s">
        <v>166</v>
      </c>
      <c r="C409" s="7">
        <v>33</v>
      </c>
      <c r="D409" s="49">
        <f t="shared" si="52"/>
        <v>0.06534653465346535</v>
      </c>
      <c r="E409" s="49">
        <f t="shared" si="53"/>
        <v>0.06560636182902585</v>
      </c>
      <c r="F409" s="18">
        <v>3</v>
      </c>
      <c r="G409" s="49">
        <f t="shared" si="54"/>
        <v>0.08333333333333333</v>
      </c>
      <c r="H409" s="49">
        <f t="shared" si="55"/>
        <v>0.08571428571428572</v>
      </c>
      <c r="I409" s="18">
        <v>0</v>
      </c>
      <c r="J409" s="49">
        <f t="shared" si="56"/>
        <v>0</v>
      </c>
      <c r="K409" s="50">
        <f t="shared" si="57"/>
        <v>0</v>
      </c>
    </row>
    <row r="410" spans="1:11" ht="11.25">
      <c r="A410" s="18"/>
      <c r="B410" s="9" t="s">
        <v>167</v>
      </c>
      <c r="C410" s="7">
        <v>27</v>
      </c>
      <c r="D410" s="49">
        <f t="shared" si="52"/>
        <v>0.053465346534653464</v>
      </c>
      <c r="E410" s="49">
        <f t="shared" si="53"/>
        <v>0.0536779324055666</v>
      </c>
      <c r="F410" s="18">
        <v>2</v>
      </c>
      <c r="G410" s="49">
        <f t="shared" si="54"/>
        <v>0.05555555555555555</v>
      </c>
      <c r="H410" s="49">
        <f t="shared" si="55"/>
        <v>0.05714285714285714</v>
      </c>
      <c r="I410" s="18">
        <v>0</v>
      </c>
      <c r="J410" s="49">
        <f t="shared" si="56"/>
        <v>0</v>
      </c>
      <c r="K410" s="50">
        <f t="shared" si="57"/>
        <v>0</v>
      </c>
    </row>
    <row r="411" spans="1:11" ht="11.25">
      <c r="A411" s="18"/>
      <c r="B411" s="9" t="s">
        <v>168</v>
      </c>
      <c r="C411" s="7">
        <v>11</v>
      </c>
      <c r="D411" s="49">
        <f t="shared" si="52"/>
        <v>0.02178217821782178</v>
      </c>
      <c r="E411" s="49">
        <f t="shared" si="53"/>
        <v>0.02186878727634195</v>
      </c>
      <c r="F411" s="18">
        <v>2</v>
      </c>
      <c r="G411" s="49">
        <f t="shared" si="54"/>
        <v>0.05555555555555555</v>
      </c>
      <c r="H411" s="49">
        <f t="shared" si="55"/>
        <v>0.05714285714285714</v>
      </c>
      <c r="I411" s="18">
        <v>0</v>
      </c>
      <c r="J411" s="49">
        <f t="shared" si="56"/>
        <v>0</v>
      </c>
      <c r="K411" s="50">
        <f t="shared" si="57"/>
        <v>0</v>
      </c>
    </row>
    <row r="412" spans="1:11" ht="11.25">
      <c r="A412" s="23"/>
      <c r="B412" s="12" t="s">
        <v>160</v>
      </c>
      <c r="C412" s="11">
        <v>2</v>
      </c>
      <c r="D412" s="59">
        <f t="shared" si="52"/>
        <v>0.0039603960396039604</v>
      </c>
      <c r="E412" s="78" t="s">
        <v>19</v>
      </c>
      <c r="F412" s="23">
        <v>1</v>
      </c>
      <c r="G412" s="59">
        <f t="shared" si="54"/>
        <v>0.027777777777777776</v>
      </c>
      <c r="H412" s="78" t="s">
        <v>19</v>
      </c>
      <c r="I412" s="23">
        <v>0</v>
      </c>
      <c r="J412" s="59">
        <f t="shared" si="56"/>
        <v>0</v>
      </c>
      <c r="K412" s="79" t="s">
        <v>19</v>
      </c>
    </row>
    <row r="413" spans="1:11" ht="11.25">
      <c r="A413" s="13" t="s">
        <v>45</v>
      </c>
      <c r="B413" s="14" t="s">
        <v>46</v>
      </c>
      <c r="C413" s="13"/>
      <c r="D413" s="36"/>
      <c r="E413" s="43"/>
      <c r="F413" s="13"/>
      <c r="G413" s="36"/>
      <c r="H413" s="43"/>
      <c r="I413" s="13"/>
      <c r="J413" s="36"/>
      <c r="K413" s="43"/>
    </row>
    <row r="414" spans="1:11" ht="11.25">
      <c r="A414" s="18"/>
      <c r="B414" s="103" t="s">
        <v>47</v>
      </c>
      <c r="C414" s="18">
        <v>230</v>
      </c>
      <c r="D414" s="49">
        <f aca="true" t="shared" si="58" ref="D414:D419">C414/totalw1</f>
        <v>0.45544554455445546</v>
      </c>
      <c r="E414" s="50">
        <f>C414/(totalw1-q5nw)</f>
        <v>0.4590818363273453</v>
      </c>
      <c r="F414" s="18">
        <v>15</v>
      </c>
      <c r="G414" s="49">
        <f aca="true" t="shared" si="59" ref="G414:G419">F414/totalb1</f>
        <v>0.4166666666666667</v>
      </c>
      <c r="H414" s="50">
        <f>F414/(totalb1-q5nb)</f>
        <v>0.4166666666666667</v>
      </c>
      <c r="I414" s="18">
        <v>6</v>
      </c>
      <c r="J414" s="49">
        <f aca="true" t="shared" si="60" ref="J414:J419">I414/totalo1</f>
        <v>0.4</v>
      </c>
      <c r="K414" s="50">
        <f>I414/(totalo1-q5no)</f>
        <v>0.4</v>
      </c>
    </row>
    <row r="415" spans="1:11" ht="11.25">
      <c r="A415" s="18"/>
      <c r="B415" s="9" t="s">
        <v>48</v>
      </c>
      <c r="C415" s="18">
        <v>150</v>
      </c>
      <c r="D415" s="49">
        <f t="shared" si="58"/>
        <v>0.297029702970297</v>
      </c>
      <c r="E415" s="50">
        <f>C415/(totalw1-q5nw)</f>
        <v>0.2994011976047904</v>
      </c>
      <c r="F415" s="18">
        <v>12</v>
      </c>
      <c r="G415" s="49">
        <f t="shared" si="59"/>
        <v>0.3333333333333333</v>
      </c>
      <c r="H415" s="50">
        <f>F415/(totalb1-q5nb)</f>
        <v>0.3333333333333333</v>
      </c>
      <c r="I415" s="18">
        <v>5</v>
      </c>
      <c r="J415" s="49">
        <f t="shared" si="60"/>
        <v>0.3333333333333333</v>
      </c>
      <c r="K415" s="50">
        <f>I415/(totalo1-q5no)</f>
        <v>0.3333333333333333</v>
      </c>
    </row>
    <row r="416" spans="1:11" ht="11.25">
      <c r="A416" s="18"/>
      <c r="B416" s="9" t="s">
        <v>49</v>
      </c>
      <c r="C416" s="18">
        <v>4</v>
      </c>
      <c r="D416" s="49">
        <f t="shared" si="58"/>
        <v>0.007920792079207921</v>
      </c>
      <c r="E416" s="50">
        <f>C416/(totalw1-q5nw)</f>
        <v>0.007984031936127744</v>
      </c>
      <c r="F416" s="18">
        <v>0</v>
      </c>
      <c r="G416" s="49">
        <f t="shared" si="59"/>
        <v>0</v>
      </c>
      <c r="H416" s="50">
        <f>F416/(totalb1-q5nb)</f>
        <v>0</v>
      </c>
      <c r="I416" s="18">
        <v>0</v>
      </c>
      <c r="J416" s="49">
        <f t="shared" si="60"/>
        <v>0</v>
      </c>
      <c r="K416" s="50">
        <f>I416/(totalo1-q5no)</f>
        <v>0</v>
      </c>
    </row>
    <row r="417" spans="1:11" ht="11.25">
      <c r="A417" s="18"/>
      <c r="B417" s="9" t="s">
        <v>50</v>
      </c>
      <c r="C417" s="18">
        <v>45</v>
      </c>
      <c r="D417" s="49">
        <f t="shared" si="58"/>
        <v>0.0891089108910891</v>
      </c>
      <c r="E417" s="50">
        <f>C417/(totalw1-q5nw)</f>
        <v>0.08982035928143713</v>
      </c>
      <c r="F417" s="18">
        <v>6</v>
      </c>
      <c r="G417" s="49">
        <f t="shared" si="59"/>
        <v>0.16666666666666666</v>
      </c>
      <c r="H417" s="50">
        <f>F417/(totalb1-q5nb)</f>
        <v>0.16666666666666666</v>
      </c>
      <c r="I417" s="18">
        <v>1</v>
      </c>
      <c r="J417" s="49">
        <f t="shared" si="60"/>
        <v>0.06666666666666667</v>
      </c>
      <c r="K417" s="50">
        <f>I417/(totalo1-q5no)</f>
        <v>0.06666666666666667</v>
      </c>
    </row>
    <row r="418" spans="1:11" ht="11.25">
      <c r="A418" s="18" t="s">
        <v>20</v>
      </c>
      <c r="B418" s="104" t="s">
        <v>51</v>
      </c>
      <c r="C418" s="39">
        <v>72</v>
      </c>
      <c r="D418" s="49">
        <f t="shared" si="58"/>
        <v>0.14257425742574256</v>
      </c>
      <c r="E418" s="50">
        <f>C418/(totalw1-q5nw)</f>
        <v>0.1437125748502994</v>
      </c>
      <c r="F418" s="39">
        <v>3</v>
      </c>
      <c r="G418" s="49">
        <f t="shared" si="59"/>
        <v>0.08333333333333333</v>
      </c>
      <c r="H418" s="50">
        <f>F418/(totalb1-q5nb)</f>
        <v>0.08333333333333333</v>
      </c>
      <c r="I418" s="39">
        <v>3</v>
      </c>
      <c r="J418" s="49">
        <f t="shared" si="60"/>
        <v>0.2</v>
      </c>
      <c r="K418" s="50">
        <f>I418/(totalo1-q5no)</f>
        <v>0.2</v>
      </c>
    </row>
    <row r="419" spans="1:11" ht="11.25">
      <c r="A419" s="23"/>
      <c r="B419" s="105" t="s">
        <v>18</v>
      </c>
      <c r="C419" s="46">
        <v>4</v>
      </c>
      <c r="D419" s="59">
        <f t="shared" si="58"/>
        <v>0.007920792079207921</v>
      </c>
      <c r="E419" s="79" t="s">
        <v>19</v>
      </c>
      <c r="F419" s="46">
        <v>0</v>
      </c>
      <c r="G419" s="59">
        <f t="shared" si="59"/>
        <v>0</v>
      </c>
      <c r="H419" s="79" t="s">
        <v>19</v>
      </c>
      <c r="I419" s="46">
        <v>0</v>
      </c>
      <c r="J419" s="59">
        <f t="shared" si="60"/>
        <v>0</v>
      </c>
      <c r="K419" s="79" t="s">
        <v>19</v>
      </c>
    </row>
    <row r="420" spans="1:11" ht="11.25">
      <c r="A420" s="13" t="str">
        <f>"6."</f>
        <v>6.</v>
      </c>
      <c r="B420" s="42" t="s">
        <v>191</v>
      </c>
      <c r="C420" s="13"/>
      <c r="D420" s="36"/>
      <c r="E420" s="43"/>
      <c r="F420" s="13"/>
      <c r="G420" s="36"/>
      <c r="H420" s="43"/>
      <c r="I420" s="13"/>
      <c r="J420" s="36"/>
      <c r="K420" s="43"/>
    </row>
    <row r="421" spans="1:11" ht="11.25">
      <c r="A421" s="18"/>
      <c r="B421" s="44" t="s">
        <v>53</v>
      </c>
      <c r="C421" s="18">
        <v>140</v>
      </c>
      <c r="D421" s="49">
        <f aca="true" t="shared" si="61" ref="D421:D429">C421/totalw1</f>
        <v>0.27722772277227725</v>
      </c>
      <c r="E421" s="29">
        <f aca="true" t="shared" si="62" ref="E421:E428">C421/(totalw1-q6nw)</f>
        <v>0.27944111776447106</v>
      </c>
      <c r="F421" s="18">
        <v>10</v>
      </c>
      <c r="G421" s="28">
        <f aca="true" t="shared" si="63" ref="G421:G429">F421/totalb1</f>
        <v>0.2777777777777778</v>
      </c>
      <c r="H421" s="29">
        <f aca="true" t="shared" si="64" ref="H421:H428">F421/(totalb1-q6nb)</f>
        <v>0.2777777777777778</v>
      </c>
      <c r="I421" s="18">
        <v>4</v>
      </c>
      <c r="J421" s="28">
        <f aca="true" t="shared" si="65" ref="J421:J429">I421/totalo1</f>
        <v>0.26666666666666666</v>
      </c>
      <c r="K421" s="29">
        <f aca="true" t="shared" si="66" ref="K421:K428">I421/(totalo1-q6no)</f>
        <v>0.26666666666666666</v>
      </c>
    </row>
    <row r="422" spans="1:11" ht="11.25">
      <c r="A422" s="18"/>
      <c r="B422" s="44" t="s">
        <v>54</v>
      </c>
      <c r="C422" s="18">
        <v>110</v>
      </c>
      <c r="D422" s="49">
        <f t="shared" si="61"/>
        <v>0.21782178217821782</v>
      </c>
      <c r="E422" s="29">
        <f t="shared" si="62"/>
        <v>0.21956087824351297</v>
      </c>
      <c r="F422" s="18">
        <v>8</v>
      </c>
      <c r="G422" s="28">
        <f t="shared" si="63"/>
        <v>0.2222222222222222</v>
      </c>
      <c r="H422" s="29">
        <f t="shared" si="64"/>
        <v>0.2222222222222222</v>
      </c>
      <c r="I422" s="18">
        <v>4</v>
      </c>
      <c r="J422" s="28">
        <f t="shared" si="65"/>
        <v>0.26666666666666666</v>
      </c>
      <c r="K422" s="29">
        <f t="shared" si="66"/>
        <v>0.26666666666666666</v>
      </c>
    </row>
    <row r="423" spans="1:11" ht="11.25">
      <c r="A423" s="18"/>
      <c r="B423" s="44" t="s">
        <v>209</v>
      </c>
      <c r="C423" s="18">
        <v>4</v>
      </c>
      <c r="D423" s="49">
        <f t="shared" si="61"/>
        <v>0.007920792079207921</v>
      </c>
      <c r="E423" s="29">
        <f t="shared" si="62"/>
        <v>0.007984031936127744</v>
      </c>
      <c r="F423" s="18">
        <v>0</v>
      </c>
      <c r="G423" s="28">
        <f t="shared" si="63"/>
        <v>0</v>
      </c>
      <c r="H423" s="29">
        <f t="shared" si="64"/>
        <v>0</v>
      </c>
      <c r="I423" s="18">
        <v>0</v>
      </c>
      <c r="J423" s="28">
        <f t="shared" si="65"/>
        <v>0</v>
      </c>
      <c r="K423" s="29">
        <f t="shared" si="66"/>
        <v>0</v>
      </c>
    </row>
    <row r="424" spans="1:11" ht="11.25">
      <c r="A424" s="18"/>
      <c r="B424" s="44" t="s">
        <v>55</v>
      </c>
      <c r="C424" s="18">
        <v>38</v>
      </c>
      <c r="D424" s="49">
        <f t="shared" si="61"/>
        <v>0.07524752475247524</v>
      </c>
      <c r="E424" s="29">
        <f t="shared" si="62"/>
        <v>0.07584830339321358</v>
      </c>
      <c r="F424" s="18">
        <v>2</v>
      </c>
      <c r="G424" s="28">
        <f t="shared" si="63"/>
        <v>0.05555555555555555</v>
      </c>
      <c r="H424" s="29">
        <f t="shared" si="64"/>
        <v>0.05555555555555555</v>
      </c>
      <c r="I424" s="18">
        <v>0</v>
      </c>
      <c r="J424" s="28">
        <f t="shared" si="65"/>
        <v>0</v>
      </c>
      <c r="K424" s="29">
        <f t="shared" si="66"/>
        <v>0</v>
      </c>
    </row>
    <row r="425" spans="1:11" ht="11.25">
      <c r="A425" s="39"/>
      <c r="B425" s="44" t="s">
        <v>56</v>
      </c>
      <c r="C425" s="39">
        <v>77</v>
      </c>
      <c r="D425" s="49">
        <f t="shared" si="61"/>
        <v>0.15247524752475247</v>
      </c>
      <c r="E425" s="29">
        <f t="shared" si="62"/>
        <v>0.1536926147704591</v>
      </c>
      <c r="F425" s="39">
        <v>3</v>
      </c>
      <c r="G425" s="28">
        <f t="shared" si="63"/>
        <v>0.08333333333333333</v>
      </c>
      <c r="H425" s="29">
        <f t="shared" si="64"/>
        <v>0.08333333333333333</v>
      </c>
      <c r="I425" s="39">
        <v>4</v>
      </c>
      <c r="J425" s="28">
        <f t="shared" si="65"/>
        <v>0.26666666666666666</v>
      </c>
      <c r="K425" s="29">
        <f t="shared" si="66"/>
        <v>0.26666666666666666</v>
      </c>
    </row>
    <row r="426" spans="1:11" ht="11.25">
      <c r="A426" s="39"/>
      <c r="B426" s="44" t="s">
        <v>57</v>
      </c>
      <c r="C426" s="39">
        <v>72</v>
      </c>
      <c r="D426" s="49">
        <f t="shared" si="61"/>
        <v>0.14257425742574256</v>
      </c>
      <c r="E426" s="29">
        <f t="shared" si="62"/>
        <v>0.1437125748502994</v>
      </c>
      <c r="F426" s="39">
        <v>9</v>
      </c>
      <c r="G426" s="28">
        <f t="shared" si="63"/>
        <v>0.25</v>
      </c>
      <c r="H426" s="29">
        <f t="shared" si="64"/>
        <v>0.25</v>
      </c>
      <c r="I426" s="39">
        <v>1</v>
      </c>
      <c r="J426" s="28">
        <f t="shared" si="65"/>
        <v>0.06666666666666667</v>
      </c>
      <c r="K426" s="29">
        <f t="shared" si="66"/>
        <v>0.06666666666666667</v>
      </c>
    </row>
    <row r="427" spans="1:11" ht="11.25">
      <c r="A427" s="39"/>
      <c r="B427" s="44" t="s">
        <v>58</v>
      </c>
      <c r="C427" s="39">
        <v>40</v>
      </c>
      <c r="D427" s="49">
        <f t="shared" si="61"/>
        <v>0.07920792079207921</v>
      </c>
      <c r="E427" s="29">
        <f t="shared" si="62"/>
        <v>0.07984031936127745</v>
      </c>
      <c r="F427" s="39">
        <v>3</v>
      </c>
      <c r="G427" s="28">
        <f t="shared" si="63"/>
        <v>0.08333333333333333</v>
      </c>
      <c r="H427" s="29">
        <f t="shared" si="64"/>
        <v>0.08333333333333333</v>
      </c>
      <c r="I427" s="39">
        <v>1</v>
      </c>
      <c r="J427" s="28">
        <f t="shared" si="65"/>
        <v>0.06666666666666667</v>
      </c>
      <c r="K427" s="29">
        <f t="shared" si="66"/>
        <v>0.06666666666666667</v>
      </c>
    </row>
    <row r="428" spans="1:11" ht="11.25">
      <c r="A428" s="39"/>
      <c r="B428" s="44" t="s">
        <v>59</v>
      </c>
      <c r="C428" s="39">
        <v>20</v>
      </c>
      <c r="D428" s="49">
        <f t="shared" si="61"/>
        <v>0.039603960396039604</v>
      </c>
      <c r="E428" s="29">
        <f t="shared" si="62"/>
        <v>0.03992015968063872</v>
      </c>
      <c r="F428" s="39">
        <v>1</v>
      </c>
      <c r="G428" s="28">
        <f t="shared" si="63"/>
        <v>0.027777777777777776</v>
      </c>
      <c r="H428" s="29">
        <f t="shared" si="64"/>
        <v>0.027777777777777776</v>
      </c>
      <c r="I428" s="39">
        <v>1</v>
      </c>
      <c r="J428" s="28">
        <f t="shared" si="65"/>
        <v>0.06666666666666667</v>
      </c>
      <c r="K428" s="29">
        <f t="shared" si="66"/>
        <v>0.06666666666666667</v>
      </c>
    </row>
    <row r="429" spans="1:11" ht="11.25">
      <c r="A429" s="46"/>
      <c r="B429" s="47" t="s">
        <v>18</v>
      </c>
      <c r="C429" s="23">
        <v>4</v>
      </c>
      <c r="D429" s="59">
        <f t="shared" si="61"/>
        <v>0.007920792079207921</v>
      </c>
      <c r="E429" s="41" t="s">
        <v>19</v>
      </c>
      <c r="F429" s="23">
        <v>0</v>
      </c>
      <c r="G429" s="27">
        <f t="shared" si="63"/>
        <v>0</v>
      </c>
      <c r="H429" s="41" t="s">
        <v>19</v>
      </c>
      <c r="I429" s="23">
        <v>0</v>
      </c>
      <c r="J429" s="27">
        <f t="shared" si="65"/>
        <v>0</v>
      </c>
      <c r="K429" s="41" t="s">
        <v>19</v>
      </c>
    </row>
    <row r="430" spans="1:11" ht="11.25">
      <c r="A430" s="85" t="s">
        <v>189</v>
      </c>
      <c r="B430" s="87"/>
      <c r="C430" s="87"/>
      <c r="D430" s="99"/>
      <c r="E430" s="100"/>
      <c r="F430" s="87"/>
      <c r="G430" s="99"/>
      <c r="H430" s="100"/>
      <c r="I430" s="87"/>
      <c r="J430" s="99"/>
      <c r="K430" s="101"/>
    </row>
    <row r="431" spans="1:11" ht="12.75">
      <c r="A431" s="1" t="s">
        <v>0</v>
      </c>
      <c r="B431" s="2"/>
      <c r="C431" s="2"/>
      <c r="D431" s="2"/>
      <c r="E431" s="2"/>
      <c r="F431" s="2"/>
      <c r="G431" s="2"/>
      <c r="H431" s="2"/>
      <c r="I431" s="2"/>
      <c r="J431" s="2"/>
      <c r="K431" s="4" t="s">
        <v>192</v>
      </c>
    </row>
    <row r="432" spans="1:11" ht="12.75">
      <c r="A432" s="6" t="s">
        <v>2</v>
      </c>
      <c r="B432" s="7"/>
      <c r="C432" s="7"/>
      <c r="D432" s="7"/>
      <c r="E432" s="7"/>
      <c r="F432" s="7"/>
      <c r="G432" s="7"/>
      <c r="H432" s="7"/>
      <c r="I432" s="7"/>
      <c r="J432" s="7"/>
      <c r="K432" s="9"/>
    </row>
    <row r="433" spans="1:11" ht="12.75">
      <c r="A433" s="6" t="s">
        <v>3</v>
      </c>
      <c r="B433" s="7"/>
      <c r="C433" s="7"/>
      <c r="D433" s="7"/>
      <c r="E433" s="7"/>
      <c r="F433" s="7"/>
      <c r="G433" s="7"/>
      <c r="H433" s="7"/>
      <c r="I433" s="7"/>
      <c r="J433" s="7"/>
      <c r="K433" s="9"/>
    </row>
    <row r="434" spans="1:11" ht="12.75">
      <c r="A434" s="57" t="s">
        <v>4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2"/>
    </row>
    <row r="435" spans="1:11" ht="12.75">
      <c r="A435" s="13"/>
      <c r="B435" s="14"/>
      <c r="C435" s="92" t="s">
        <v>185</v>
      </c>
      <c r="D435" s="102"/>
      <c r="E435" s="102"/>
      <c r="F435" s="94" t="s">
        <v>186</v>
      </c>
      <c r="G435" s="102"/>
      <c r="H435" s="102"/>
      <c r="I435" s="94" t="s">
        <v>187</v>
      </c>
      <c r="J435" s="102"/>
      <c r="K435" s="106"/>
    </row>
    <row r="436" spans="1:11" ht="11.25">
      <c r="A436" s="18"/>
      <c r="B436" s="9"/>
      <c r="C436" s="71"/>
      <c r="D436" s="71" t="s">
        <v>5</v>
      </c>
      <c r="E436" s="71" t="s">
        <v>5</v>
      </c>
      <c r="F436" s="97"/>
      <c r="G436" s="71" t="s">
        <v>5</v>
      </c>
      <c r="H436" s="71" t="s">
        <v>5</v>
      </c>
      <c r="I436" s="97"/>
      <c r="J436" s="71" t="s">
        <v>5</v>
      </c>
      <c r="K436" s="73" t="s">
        <v>5</v>
      </c>
    </row>
    <row r="437" spans="1:11" ht="12.75">
      <c r="A437" s="74" t="s">
        <v>188</v>
      </c>
      <c r="B437" s="98"/>
      <c r="C437" s="71"/>
      <c r="D437" s="71" t="s">
        <v>7</v>
      </c>
      <c r="E437" s="71" t="s">
        <v>8</v>
      </c>
      <c r="F437" s="97"/>
      <c r="G437" s="71" t="s">
        <v>7</v>
      </c>
      <c r="H437" s="71" t="s">
        <v>8</v>
      </c>
      <c r="I437" s="97"/>
      <c r="J437" s="71" t="s">
        <v>7</v>
      </c>
      <c r="K437" s="73" t="s">
        <v>8</v>
      </c>
    </row>
    <row r="438" spans="1:11" ht="11.25">
      <c r="A438" s="23"/>
      <c r="B438" s="12"/>
      <c r="C438" s="75" t="s">
        <v>9</v>
      </c>
      <c r="D438" s="75" t="s">
        <v>10</v>
      </c>
      <c r="E438" s="75" t="s">
        <v>10</v>
      </c>
      <c r="F438" s="76" t="s">
        <v>9</v>
      </c>
      <c r="G438" s="75" t="s">
        <v>10</v>
      </c>
      <c r="H438" s="75" t="s">
        <v>10</v>
      </c>
      <c r="I438" s="76" t="s">
        <v>9</v>
      </c>
      <c r="J438" s="75" t="s">
        <v>10</v>
      </c>
      <c r="K438" s="77" t="s">
        <v>10</v>
      </c>
    </row>
    <row r="439" spans="1:11" ht="11.25">
      <c r="A439" s="18" t="str">
        <f>"7."</f>
        <v>7.</v>
      </c>
      <c r="B439" s="45" t="s">
        <v>60</v>
      </c>
      <c r="C439" s="7"/>
      <c r="D439" s="49"/>
      <c r="E439" s="49"/>
      <c r="F439" s="18"/>
      <c r="G439" s="49"/>
      <c r="H439" s="49"/>
      <c r="I439" s="18"/>
      <c r="J439" s="49"/>
      <c r="K439" s="50"/>
    </row>
    <row r="440" spans="1:11" ht="11.25">
      <c r="A440" s="18"/>
      <c r="B440" s="45" t="s">
        <v>193</v>
      </c>
      <c r="C440" s="7" t="s">
        <v>194</v>
      </c>
      <c r="D440" s="49"/>
      <c r="E440" s="49"/>
      <c r="F440" s="18" t="s">
        <v>195</v>
      </c>
      <c r="G440" s="49"/>
      <c r="H440" s="49"/>
      <c r="I440" s="18" t="s">
        <v>196</v>
      </c>
      <c r="J440" s="49"/>
      <c r="K440" s="50"/>
    </row>
    <row r="441" spans="1:11" ht="11.25">
      <c r="A441" s="18"/>
      <c r="B441" s="44" t="s">
        <v>63</v>
      </c>
      <c r="C441" s="18">
        <v>22</v>
      </c>
      <c r="D441" s="49">
        <f aca="true" t="shared" si="67" ref="D441:D448">C441/q1wf</f>
        <v>0.054187192118226604</v>
      </c>
      <c r="E441" s="49">
        <f aca="true" t="shared" si="68" ref="E441:E447">C441/(q1wf-q7anw)</f>
        <v>0.05789473684210526</v>
      </c>
      <c r="F441" s="18">
        <v>3</v>
      </c>
      <c r="G441" s="49">
        <f aca="true" t="shared" si="69" ref="G441:G448">F441/q1bf</f>
        <v>0.11538461538461539</v>
      </c>
      <c r="H441" s="49">
        <f aca="true" t="shared" si="70" ref="H441:H447">F441/(q1bf-q7anb)</f>
        <v>0.13043478260869565</v>
      </c>
      <c r="I441" s="18">
        <v>0</v>
      </c>
      <c r="J441" s="49">
        <f aca="true" t="shared" si="71" ref="J441:J448">I441/q1of</f>
        <v>0</v>
      </c>
      <c r="K441" s="50">
        <f aca="true" t="shared" si="72" ref="K441:K447">I441/(q1of-q7ano)</f>
        <v>0</v>
      </c>
    </row>
    <row r="442" spans="1:11" ht="11.25">
      <c r="A442" s="18"/>
      <c r="B442" s="44" t="s">
        <v>64</v>
      </c>
      <c r="C442" s="18">
        <v>25</v>
      </c>
      <c r="D442" s="49">
        <f t="shared" si="67"/>
        <v>0.06157635467980296</v>
      </c>
      <c r="E442" s="49">
        <f t="shared" si="68"/>
        <v>0.06578947368421052</v>
      </c>
      <c r="F442" s="18">
        <v>1</v>
      </c>
      <c r="G442" s="49">
        <f t="shared" si="69"/>
        <v>0.038461538461538464</v>
      </c>
      <c r="H442" s="49">
        <f t="shared" si="70"/>
        <v>0.043478260869565216</v>
      </c>
      <c r="I442" s="18">
        <v>2</v>
      </c>
      <c r="J442" s="49">
        <f t="shared" si="71"/>
        <v>0.15384615384615385</v>
      </c>
      <c r="K442" s="50">
        <f t="shared" si="72"/>
        <v>0.2</v>
      </c>
    </row>
    <row r="443" spans="1:11" ht="11.25">
      <c r="A443" s="18"/>
      <c r="B443" s="44" t="s">
        <v>65</v>
      </c>
      <c r="C443" s="18">
        <v>65</v>
      </c>
      <c r="D443" s="49">
        <f t="shared" si="67"/>
        <v>0.16009852216748768</v>
      </c>
      <c r="E443" s="49">
        <f t="shared" si="68"/>
        <v>0.17105263157894737</v>
      </c>
      <c r="F443" s="18">
        <v>2</v>
      </c>
      <c r="G443" s="49">
        <f t="shared" si="69"/>
        <v>0.07692307692307693</v>
      </c>
      <c r="H443" s="49">
        <f t="shared" si="70"/>
        <v>0.08695652173913043</v>
      </c>
      <c r="I443" s="18">
        <v>3</v>
      </c>
      <c r="J443" s="49">
        <f t="shared" si="71"/>
        <v>0.23076923076923078</v>
      </c>
      <c r="K443" s="50">
        <f t="shared" si="72"/>
        <v>0.3</v>
      </c>
    </row>
    <row r="444" spans="1:11" ht="11.25">
      <c r="A444" s="18"/>
      <c r="B444" s="44" t="s">
        <v>66</v>
      </c>
      <c r="C444" s="18">
        <v>78</v>
      </c>
      <c r="D444" s="49">
        <f t="shared" si="67"/>
        <v>0.1921182266009852</v>
      </c>
      <c r="E444" s="49">
        <f t="shared" si="68"/>
        <v>0.20526315789473684</v>
      </c>
      <c r="F444" s="18">
        <v>4</v>
      </c>
      <c r="G444" s="49">
        <f t="shared" si="69"/>
        <v>0.15384615384615385</v>
      </c>
      <c r="H444" s="49">
        <f t="shared" si="70"/>
        <v>0.17391304347826086</v>
      </c>
      <c r="I444" s="18">
        <v>0</v>
      </c>
      <c r="J444" s="49">
        <f t="shared" si="71"/>
        <v>0</v>
      </c>
      <c r="K444" s="50">
        <f t="shared" si="72"/>
        <v>0</v>
      </c>
    </row>
    <row r="445" spans="1:11" ht="11.25">
      <c r="A445" s="18"/>
      <c r="B445" s="44" t="s">
        <v>67</v>
      </c>
      <c r="C445" s="18">
        <v>80</v>
      </c>
      <c r="D445" s="49">
        <f t="shared" si="67"/>
        <v>0.19704433497536947</v>
      </c>
      <c r="E445" s="49">
        <f t="shared" si="68"/>
        <v>0.21052631578947367</v>
      </c>
      <c r="F445" s="18">
        <v>5</v>
      </c>
      <c r="G445" s="49">
        <f t="shared" si="69"/>
        <v>0.19230769230769232</v>
      </c>
      <c r="H445" s="49">
        <f t="shared" si="70"/>
        <v>0.21739130434782608</v>
      </c>
      <c r="I445" s="18">
        <v>2</v>
      </c>
      <c r="J445" s="49">
        <f t="shared" si="71"/>
        <v>0.15384615384615385</v>
      </c>
      <c r="K445" s="50">
        <f t="shared" si="72"/>
        <v>0.2</v>
      </c>
    </row>
    <row r="446" spans="1:11" ht="11.25">
      <c r="A446" s="18"/>
      <c r="B446" s="44" t="s">
        <v>68</v>
      </c>
      <c r="C446" s="18">
        <v>35</v>
      </c>
      <c r="D446" s="49">
        <f t="shared" si="67"/>
        <v>0.08620689655172414</v>
      </c>
      <c r="E446" s="49">
        <f t="shared" si="68"/>
        <v>0.09210526315789473</v>
      </c>
      <c r="F446" s="18">
        <v>5</v>
      </c>
      <c r="G446" s="49">
        <f t="shared" si="69"/>
        <v>0.19230769230769232</v>
      </c>
      <c r="H446" s="49">
        <f t="shared" si="70"/>
        <v>0.21739130434782608</v>
      </c>
      <c r="I446" s="18">
        <v>2</v>
      </c>
      <c r="J446" s="49">
        <f t="shared" si="71"/>
        <v>0.15384615384615385</v>
      </c>
      <c r="K446" s="50">
        <f t="shared" si="72"/>
        <v>0.2</v>
      </c>
    </row>
    <row r="447" spans="1:11" ht="11.25">
      <c r="A447" s="18"/>
      <c r="B447" s="44" t="s">
        <v>69</v>
      </c>
      <c r="C447" s="18">
        <f>27+18+30</f>
        <v>75</v>
      </c>
      <c r="D447" s="49">
        <f t="shared" si="67"/>
        <v>0.18472906403940886</v>
      </c>
      <c r="E447" s="49">
        <f t="shared" si="68"/>
        <v>0.19736842105263158</v>
      </c>
      <c r="F447" s="18">
        <v>3</v>
      </c>
      <c r="G447" s="49">
        <f t="shared" si="69"/>
        <v>0.11538461538461539</v>
      </c>
      <c r="H447" s="49">
        <f t="shared" si="70"/>
        <v>0.13043478260869565</v>
      </c>
      <c r="I447" s="18">
        <v>1</v>
      </c>
      <c r="J447" s="49">
        <f t="shared" si="71"/>
        <v>0.07692307692307693</v>
      </c>
      <c r="K447" s="50">
        <f t="shared" si="72"/>
        <v>0.1</v>
      </c>
    </row>
    <row r="448" spans="1:11" ht="11.25">
      <c r="A448" s="18"/>
      <c r="B448" s="44" t="s">
        <v>70</v>
      </c>
      <c r="C448" s="18">
        <v>26</v>
      </c>
      <c r="D448" s="49">
        <f t="shared" si="67"/>
        <v>0.06403940886699508</v>
      </c>
      <c r="E448" s="107" t="s">
        <v>19</v>
      </c>
      <c r="F448" s="18">
        <v>3</v>
      </c>
      <c r="G448" s="49">
        <f t="shared" si="69"/>
        <v>0.11538461538461539</v>
      </c>
      <c r="H448" s="107" t="s">
        <v>19</v>
      </c>
      <c r="I448" s="18">
        <v>3</v>
      </c>
      <c r="J448" s="49">
        <f t="shared" si="71"/>
        <v>0.23076923076923078</v>
      </c>
      <c r="K448" s="84" t="s">
        <v>19</v>
      </c>
    </row>
    <row r="449" spans="1:12" ht="5.25" customHeight="1">
      <c r="A449" s="18"/>
      <c r="B449" s="44"/>
      <c r="C449" s="18"/>
      <c r="D449" s="49"/>
      <c r="E449" s="49"/>
      <c r="F449" s="18"/>
      <c r="G449" s="49"/>
      <c r="H449" s="49"/>
      <c r="I449" s="18"/>
      <c r="J449" s="49"/>
      <c r="K449" s="50"/>
      <c r="L449" s="18"/>
    </row>
    <row r="450" spans="1:12" ht="11.25">
      <c r="A450" s="18"/>
      <c r="B450" s="44" t="s">
        <v>197</v>
      </c>
      <c r="C450" s="18" t="s">
        <v>198</v>
      </c>
      <c r="D450" s="49"/>
      <c r="E450" s="49"/>
      <c r="F450" s="18" t="s">
        <v>199</v>
      </c>
      <c r="G450" s="49"/>
      <c r="H450" s="49"/>
      <c r="I450" s="18" t="s">
        <v>200</v>
      </c>
      <c r="J450" s="49"/>
      <c r="K450" s="50"/>
      <c r="L450" s="18"/>
    </row>
    <row r="451" spans="1:12" ht="11.25">
      <c r="A451" s="18"/>
      <c r="B451" s="44" t="s">
        <v>73</v>
      </c>
      <c r="C451" s="18">
        <v>14</v>
      </c>
      <c r="D451" s="49">
        <f aca="true" t="shared" si="73" ref="D451:D456">C451/q1wp</f>
        <v>0.1414141414141414</v>
      </c>
      <c r="E451" s="49">
        <f>C451/(q1wp-q7bnw)</f>
        <v>0.175</v>
      </c>
      <c r="F451" s="18">
        <v>0</v>
      </c>
      <c r="G451" s="107">
        <f aca="true" t="shared" si="74" ref="G451:G456">F451/q1bp</f>
        <v>0</v>
      </c>
      <c r="H451" s="49">
        <f>F451/(q1bp-F456)</f>
        <v>0</v>
      </c>
      <c r="I451" s="18">
        <v>0</v>
      </c>
      <c r="J451" s="107">
        <f aca="true" t="shared" si="75" ref="J451:J456">I451/q1op</f>
        <v>0</v>
      </c>
      <c r="K451" s="50">
        <f>I451/(q1op-q7bno)</f>
        <v>0</v>
      </c>
      <c r="L451" s="18"/>
    </row>
    <row r="452" spans="1:12" ht="11.25">
      <c r="A452" s="18"/>
      <c r="B452" s="44" t="s">
        <v>74</v>
      </c>
      <c r="C452" s="18">
        <v>21</v>
      </c>
      <c r="D452" s="49">
        <f t="shared" si="73"/>
        <v>0.21212121212121213</v>
      </c>
      <c r="E452" s="49">
        <f>C452/(q1wp-q7bnw)</f>
        <v>0.2625</v>
      </c>
      <c r="F452" s="18">
        <v>4</v>
      </c>
      <c r="G452" s="107">
        <f t="shared" si="74"/>
        <v>0.4</v>
      </c>
      <c r="H452" s="49">
        <f>F452/(q1bp-F456)</f>
        <v>0.5714285714285714</v>
      </c>
      <c r="I452" s="18">
        <v>1</v>
      </c>
      <c r="J452" s="107">
        <f t="shared" si="75"/>
        <v>0.5</v>
      </c>
      <c r="K452" s="50">
        <f>I452/(q1op-q7bno)</f>
        <v>1</v>
      </c>
      <c r="L452" s="18"/>
    </row>
    <row r="453" spans="1:12" ht="11.25">
      <c r="A453" s="18"/>
      <c r="B453" s="44" t="s">
        <v>75</v>
      </c>
      <c r="C453" s="18">
        <v>16</v>
      </c>
      <c r="D453" s="49">
        <f t="shared" si="73"/>
        <v>0.16161616161616163</v>
      </c>
      <c r="E453" s="49">
        <f>C453/(q1wp-q7bnw)</f>
        <v>0.2</v>
      </c>
      <c r="F453" s="18">
        <v>0</v>
      </c>
      <c r="G453" s="107">
        <f t="shared" si="74"/>
        <v>0</v>
      </c>
      <c r="H453" s="49">
        <f>F453/(q1bp-F456)</f>
        <v>0</v>
      </c>
      <c r="I453" s="18">
        <v>0</v>
      </c>
      <c r="J453" s="107">
        <f t="shared" si="75"/>
        <v>0</v>
      </c>
      <c r="K453" s="50">
        <f>I453/(q1op-q7bno)</f>
        <v>0</v>
      </c>
      <c r="L453" s="18"/>
    </row>
    <row r="454" spans="1:12" ht="11.25">
      <c r="A454" s="18"/>
      <c r="B454" s="44" t="s">
        <v>76</v>
      </c>
      <c r="C454" s="18">
        <v>16</v>
      </c>
      <c r="D454" s="49">
        <f t="shared" si="73"/>
        <v>0.16161616161616163</v>
      </c>
      <c r="E454" s="49">
        <f>C454/(q1wp-q7bnw)</f>
        <v>0.2</v>
      </c>
      <c r="F454" s="18">
        <v>2</v>
      </c>
      <c r="G454" s="107">
        <f t="shared" si="74"/>
        <v>0.2</v>
      </c>
      <c r="H454" s="49">
        <f>F454/(q1bp-F456)</f>
        <v>0.2857142857142857</v>
      </c>
      <c r="I454" s="18">
        <v>0</v>
      </c>
      <c r="J454" s="107">
        <f t="shared" si="75"/>
        <v>0</v>
      </c>
      <c r="K454" s="50">
        <f>I454/(q1op-q7bno)</f>
        <v>0</v>
      </c>
      <c r="L454" s="18"/>
    </row>
    <row r="455" spans="1:12" ht="11.25">
      <c r="A455" s="18"/>
      <c r="B455" s="44" t="s">
        <v>77</v>
      </c>
      <c r="C455" s="18">
        <f>5+2+2+3+1</f>
        <v>13</v>
      </c>
      <c r="D455" s="49">
        <f t="shared" si="73"/>
        <v>0.13131313131313133</v>
      </c>
      <c r="E455" s="49">
        <f>C455/(q1wp-q7bnw)</f>
        <v>0.1625</v>
      </c>
      <c r="F455" s="18">
        <v>1</v>
      </c>
      <c r="G455" s="107">
        <f t="shared" si="74"/>
        <v>0.1</v>
      </c>
      <c r="H455" s="49">
        <f>F455/(q1bp-F456)</f>
        <v>0.14285714285714285</v>
      </c>
      <c r="I455" s="18">
        <v>0</v>
      </c>
      <c r="J455" s="107">
        <f t="shared" si="75"/>
        <v>0</v>
      </c>
      <c r="K455" s="50">
        <f>I455/(q1op-q7bno)</f>
        <v>0</v>
      </c>
      <c r="L455" s="18"/>
    </row>
    <row r="456" spans="1:12" ht="11.25">
      <c r="A456" s="18"/>
      <c r="B456" s="44" t="s">
        <v>70</v>
      </c>
      <c r="C456" s="23">
        <v>19</v>
      </c>
      <c r="D456" s="59">
        <f t="shared" si="73"/>
        <v>0.1919191919191919</v>
      </c>
      <c r="E456" s="79" t="s">
        <v>19</v>
      </c>
      <c r="F456" s="18">
        <v>3</v>
      </c>
      <c r="G456" s="107">
        <f t="shared" si="74"/>
        <v>0.3</v>
      </c>
      <c r="H456" s="107" t="s">
        <v>19</v>
      </c>
      <c r="I456" s="18">
        <v>1</v>
      </c>
      <c r="J456" s="107">
        <f t="shared" si="75"/>
        <v>0.5</v>
      </c>
      <c r="K456" s="84" t="s">
        <v>19</v>
      </c>
      <c r="L456" s="18"/>
    </row>
    <row r="457" spans="1:12" ht="11.25">
      <c r="A457" s="53" t="s">
        <v>80</v>
      </c>
      <c r="B457" s="54" t="s">
        <v>81</v>
      </c>
      <c r="C457" s="18"/>
      <c r="D457" s="28"/>
      <c r="E457" s="29"/>
      <c r="F457" s="13"/>
      <c r="G457" s="32"/>
      <c r="H457" s="33"/>
      <c r="I457" s="13"/>
      <c r="J457" s="36"/>
      <c r="K457" s="108"/>
      <c r="L457" s="18"/>
    </row>
    <row r="458" spans="1:12" ht="11.25">
      <c r="A458" s="18"/>
      <c r="B458" s="45" t="s">
        <v>174</v>
      </c>
      <c r="C458" s="18">
        <v>69</v>
      </c>
      <c r="D458" s="28">
        <f aca="true" t="shared" si="76" ref="D458:D464">C458/totalw1</f>
        <v>0.13663366336633664</v>
      </c>
      <c r="E458" s="29">
        <f aca="true" t="shared" si="77" ref="E458:E463">C458/(totalw1-q9nw)</f>
        <v>0.13883299798792756</v>
      </c>
      <c r="F458" s="18">
        <v>10</v>
      </c>
      <c r="G458" s="28">
        <f aca="true" t="shared" si="78" ref="G458:G464">F458/(totalb1)</f>
        <v>0.2777777777777778</v>
      </c>
      <c r="H458" s="29">
        <f aca="true" t="shared" si="79" ref="H458:H463">F458/(totalb1-q9nb)</f>
        <v>0.2777777777777778</v>
      </c>
      <c r="I458" s="18">
        <v>3</v>
      </c>
      <c r="J458" s="28">
        <f aca="true" t="shared" si="80" ref="J458:J464">I458/totalo1</f>
        <v>0.2</v>
      </c>
      <c r="K458" s="29">
        <f aca="true" t="shared" si="81" ref="K458:K463">I458/(totalo1-q9no)</f>
        <v>0.21428571428571427</v>
      </c>
      <c r="L458" s="18"/>
    </row>
    <row r="459" spans="1:12" ht="11.25">
      <c r="A459" s="18"/>
      <c r="B459" s="45" t="s">
        <v>175</v>
      </c>
      <c r="C459" s="18">
        <v>163</v>
      </c>
      <c r="D459" s="28">
        <f t="shared" si="76"/>
        <v>0.3227722772277228</v>
      </c>
      <c r="E459" s="29">
        <f t="shared" si="77"/>
        <v>0.32796780684104626</v>
      </c>
      <c r="F459" s="18">
        <v>9</v>
      </c>
      <c r="G459" s="28">
        <f t="shared" si="78"/>
        <v>0.25</v>
      </c>
      <c r="H459" s="29">
        <f t="shared" si="79"/>
        <v>0.25</v>
      </c>
      <c r="I459" s="18">
        <v>2</v>
      </c>
      <c r="J459" s="28">
        <f t="shared" si="80"/>
        <v>0.13333333333333333</v>
      </c>
      <c r="K459" s="29">
        <f t="shared" si="81"/>
        <v>0.14285714285714285</v>
      </c>
      <c r="L459" s="18"/>
    </row>
    <row r="460" spans="1:12" ht="11.25">
      <c r="A460" s="18"/>
      <c r="B460" s="45" t="s">
        <v>176</v>
      </c>
      <c r="C460" s="18">
        <v>202</v>
      </c>
      <c r="D460" s="28">
        <f t="shared" si="76"/>
        <v>0.4</v>
      </c>
      <c r="E460" s="29">
        <f t="shared" si="77"/>
        <v>0.40643863179074446</v>
      </c>
      <c r="F460" s="18">
        <v>13</v>
      </c>
      <c r="G460" s="28">
        <f t="shared" si="78"/>
        <v>0.3611111111111111</v>
      </c>
      <c r="H460" s="29">
        <f t="shared" si="79"/>
        <v>0.3611111111111111</v>
      </c>
      <c r="I460" s="18">
        <v>8</v>
      </c>
      <c r="J460" s="28">
        <f t="shared" si="80"/>
        <v>0.5333333333333333</v>
      </c>
      <c r="K460" s="29">
        <f t="shared" si="81"/>
        <v>0.5714285714285714</v>
      </c>
      <c r="L460" s="18"/>
    </row>
    <row r="461" spans="1:12" ht="11.25">
      <c r="A461" s="18"/>
      <c r="B461" s="45" t="s">
        <v>177</v>
      </c>
      <c r="C461" s="18">
        <v>33</v>
      </c>
      <c r="D461" s="28">
        <f t="shared" si="76"/>
        <v>0.06534653465346535</v>
      </c>
      <c r="E461" s="29">
        <f t="shared" si="77"/>
        <v>0.06639839034205232</v>
      </c>
      <c r="F461" s="18">
        <v>1</v>
      </c>
      <c r="G461" s="28">
        <f t="shared" si="78"/>
        <v>0.027777777777777776</v>
      </c>
      <c r="H461" s="29">
        <f t="shared" si="79"/>
        <v>0.027777777777777776</v>
      </c>
      <c r="I461" s="18">
        <v>0</v>
      </c>
      <c r="J461" s="28">
        <f t="shared" si="80"/>
        <v>0</v>
      </c>
      <c r="K461" s="29">
        <f t="shared" si="81"/>
        <v>0</v>
      </c>
      <c r="L461" s="18"/>
    </row>
    <row r="462" spans="1:12" ht="11.25">
      <c r="A462" s="18"/>
      <c r="B462" s="45" t="s">
        <v>178</v>
      </c>
      <c r="C462" s="18">
        <v>15</v>
      </c>
      <c r="D462" s="28">
        <f t="shared" si="76"/>
        <v>0.0297029702970297</v>
      </c>
      <c r="E462" s="29">
        <f t="shared" si="77"/>
        <v>0.030181086519114688</v>
      </c>
      <c r="F462" s="18">
        <v>0</v>
      </c>
      <c r="G462" s="28">
        <f t="shared" si="78"/>
        <v>0</v>
      </c>
      <c r="H462" s="29">
        <f t="shared" si="79"/>
        <v>0</v>
      </c>
      <c r="I462" s="18">
        <v>0</v>
      </c>
      <c r="J462" s="28">
        <f t="shared" si="80"/>
        <v>0</v>
      </c>
      <c r="K462" s="29">
        <f t="shared" si="81"/>
        <v>0</v>
      </c>
      <c r="L462" s="18"/>
    </row>
    <row r="463" spans="1:12" ht="11.25">
      <c r="A463" s="18"/>
      <c r="B463" s="45" t="s">
        <v>179</v>
      </c>
      <c r="C463" s="18">
        <v>15</v>
      </c>
      <c r="D463" s="28">
        <f t="shared" si="76"/>
        <v>0.0297029702970297</v>
      </c>
      <c r="E463" s="29">
        <f t="shared" si="77"/>
        <v>0.030181086519114688</v>
      </c>
      <c r="F463" s="18">
        <v>3</v>
      </c>
      <c r="G463" s="28">
        <f t="shared" si="78"/>
        <v>0.08333333333333333</v>
      </c>
      <c r="H463" s="29">
        <f t="shared" si="79"/>
        <v>0.08333333333333333</v>
      </c>
      <c r="I463" s="18">
        <v>1</v>
      </c>
      <c r="J463" s="28">
        <f t="shared" si="80"/>
        <v>0.06666666666666667</v>
      </c>
      <c r="K463" s="29">
        <f t="shared" si="81"/>
        <v>0.07142857142857142</v>
      </c>
      <c r="L463" s="18"/>
    </row>
    <row r="464" spans="1:12" ht="11.25">
      <c r="A464" s="23"/>
      <c r="B464" s="55" t="s">
        <v>180</v>
      </c>
      <c r="C464" s="23">
        <v>8</v>
      </c>
      <c r="D464" s="27">
        <f t="shared" si="76"/>
        <v>0.015841584158415842</v>
      </c>
      <c r="E464" s="30" t="s">
        <v>19</v>
      </c>
      <c r="F464" s="23">
        <v>0</v>
      </c>
      <c r="G464" s="27">
        <f t="shared" si="78"/>
        <v>0</v>
      </c>
      <c r="H464" s="30" t="s">
        <v>19</v>
      </c>
      <c r="I464" s="23">
        <v>1</v>
      </c>
      <c r="J464" s="27">
        <f t="shared" si="80"/>
        <v>0.06666666666666667</v>
      </c>
      <c r="K464" s="30" t="s">
        <v>19</v>
      </c>
      <c r="L464" s="18"/>
    </row>
    <row r="465" spans="1:11" ht="11.25">
      <c r="A465" s="18" t="str">
        <f>"9a."</f>
        <v>9a.</v>
      </c>
      <c r="B465" s="44" t="s">
        <v>88</v>
      </c>
      <c r="C465" s="13"/>
      <c r="D465" s="36"/>
      <c r="E465" s="43"/>
      <c r="F465" s="13"/>
      <c r="G465" s="36"/>
      <c r="H465" s="43"/>
      <c r="I465" s="7"/>
      <c r="J465" s="49"/>
      <c r="K465" s="50"/>
    </row>
    <row r="466" spans="1:11" ht="11.25">
      <c r="A466" s="18"/>
      <c r="B466" s="44" t="s">
        <v>89</v>
      </c>
      <c r="C466" s="18">
        <v>36</v>
      </c>
      <c r="D466" s="49">
        <f aca="true" t="shared" si="82" ref="D466:D477">C466/totalw1</f>
        <v>0.07128712871287128</v>
      </c>
      <c r="E466" s="50">
        <f aca="true" t="shared" si="83" ref="E466:E477">C466/(totalw1-q8nw)</f>
        <v>0.0759493670886076</v>
      </c>
      <c r="F466" s="18">
        <v>4</v>
      </c>
      <c r="G466" s="49">
        <f aca="true" t="shared" si="84" ref="G466:G477">F466/(totalb1)</f>
        <v>0.1111111111111111</v>
      </c>
      <c r="H466" s="50">
        <f aca="true" t="shared" si="85" ref="H466:H477">F466/(totalb1-q8nb)</f>
        <v>0.125</v>
      </c>
      <c r="I466" s="7">
        <v>1</v>
      </c>
      <c r="J466" s="49">
        <f aca="true" t="shared" si="86" ref="J466:J477">I466/totalo1</f>
        <v>0.06666666666666667</v>
      </c>
      <c r="K466" s="50">
        <f aca="true" t="shared" si="87" ref="K466:K477">I466/(totalo1-q8no)</f>
        <v>0.06666666666666667</v>
      </c>
    </row>
    <row r="467" spans="1:11" ht="11.25">
      <c r="A467" s="18"/>
      <c r="B467" s="44" t="s">
        <v>90</v>
      </c>
      <c r="C467" s="18">
        <v>18</v>
      </c>
      <c r="D467" s="49">
        <f t="shared" si="82"/>
        <v>0.03564356435643564</v>
      </c>
      <c r="E467" s="50">
        <f t="shared" si="83"/>
        <v>0.0379746835443038</v>
      </c>
      <c r="F467" s="18">
        <v>2</v>
      </c>
      <c r="G467" s="49">
        <f t="shared" si="84"/>
        <v>0.05555555555555555</v>
      </c>
      <c r="H467" s="50">
        <f t="shared" si="85"/>
        <v>0.0625</v>
      </c>
      <c r="I467" s="7">
        <v>0</v>
      </c>
      <c r="J467" s="49">
        <f t="shared" si="86"/>
        <v>0</v>
      </c>
      <c r="K467" s="50">
        <f t="shared" si="87"/>
        <v>0</v>
      </c>
    </row>
    <row r="468" spans="1:11" ht="11.25">
      <c r="A468" s="18"/>
      <c r="B468" s="44" t="s">
        <v>91</v>
      </c>
      <c r="C468" s="18">
        <v>29</v>
      </c>
      <c r="D468" s="49">
        <f t="shared" si="82"/>
        <v>0.05742574257425743</v>
      </c>
      <c r="E468" s="50">
        <f t="shared" si="83"/>
        <v>0.06118143459915612</v>
      </c>
      <c r="F468" s="18">
        <v>1</v>
      </c>
      <c r="G468" s="49">
        <f t="shared" si="84"/>
        <v>0.027777777777777776</v>
      </c>
      <c r="H468" s="50">
        <f t="shared" si="85"/>
        <v>0.03125</v>
      </c>
      <c r="I468" s="7">
        <v>1</v>
      </c>
      <c r="J468" s="49">
        <f t="shared" si="86"/>
        <v>0.06666666666666667</v>
      </c>
      <c r="K468" s="50">
        <f t="shared" si="87"/>
        <v>0.06666666666666667</v>
      </c>
    </row>
    <row r="469" spans="1:11" ht="11.25">
      <c r="A469" s="18"/>
      <c r="B469" s="44" t="s">
        <v>92</v>
      </c>
      <c r="C469" s="18">
        <v>27</v>
      </c>
      <c r="D469" s="49">
        <f t="shared" si="82"/>
        <v>0.053465346534653464</v>
      </c>
      <c r="E469" s="50">
        <f t="shared" si="83"/>
        <v>0.056962025316455694</v>
      </c>
      <c r="F469" s="18">
        <v>0</v>
      </c>
      <c r="G469" s="49">
        <f t="shared" si="84"/>
        <v>0</v>
      </c>
      <c r="H469" s="50">
        <f t="shared" si="85"/>
        <v>0</v>
      </c>
      <c r="I469" s="7">
        <v>1</v>
      </c>
      <c r="J469" s="49">
        <f t="shared" si="86"/>
        <v>0.06666666666666667</v>
      </c>
      <c r="K469" s="50">
        <f t="shared" si="87"/>
        <v>0.06666666666666667</v>
      </c>
    </row>
    <row r="470" spans="1:11" ht="11.25">
      <c r="A470" s="18"/>
      <c r="B470" s="44" t="s">
        <v>93</v>
      </c>
      <c r="C470" s="18">
        <v>0</v>
      </c>
      <c r="D470" s="49">
        <f t="shared" si="82"/>
        <v>0</v>
      </c>
      <c r="E470" s="50">
        <f t="shared" si="83"/>
        <v>0</v>
      </c>
      <c r="F470" s="18">
        <v>0</v>
      </c>
      <c r="G470" s="49">
        <f t="shared" si="84"/>
        <v>0</v>
      </c>
      <c r="H470" s="50">
        <f t="shared" si="85"/>
        <v>0</v>
      </c>
      <c r="I470" s="7">
        <v>0</v>
      </c>
      <c r="J470" s="49">
        <f t="shared" si="86"/>
        <v>0</v>
      </c>
      <c r="K470" s="50">
        <f t="shared" si="87"/>
        <v>0</v>
      </c>
    </row>
    <row r="471" spans="1:11" ht="11.25">
      <c r="A471" s="18"/>
      <c r="B471" s="44" t="s">
        <v>94</v>
      </c>
      <c r="C471" s="18">
        <v>4</v>
      </c>
      <c r="D471" s="49">
        <f t="shared" si="82"/>
        <v>0.007920792079207921</v>
      </c>
      <c r="E471" s="50">
        <f t="shared" si="83"/>
        <v>0.008438818565400843</v>
      </c>
      <c r="F471" s="18">
        <v>0</v>
      </c>
      <c r="G471" s="49">
        <f t="shared" si="84"/>
        <v>0</v>
      </c>
      <c r="H471" s="50">
        <f t="shared" si="85"/>
        <v>0</v>
      </c>
      <c r="I471" s="7">
        <v>0</v>
      </c>
      <c r="J471" s="49">
        <f t="shared" si="86"/>
        <v>0</v>
      </c>
      <c r="K471" s="50">
        <f t="shared" si="87"/>
        <v>0</v>
      </c>
    </row>
    <row r="472" spans="1:11" ht="11.25">
      <c r="A472" s="18"/>
      <c r="B472" s="44" t="s">
        <v>95</v>
      </c>
      <c r="C472" s="18">
        <v>22</v>
      </c>
      <c r="D472" s="49">
        <f t="shared" si="82"/>
        <v>0.04356435643564356</v>
      </c>
      <c r="E472" s="50">
        <f t="shared" si="83"/>
        <v>0.046413502109704644</v>
      </c>
      <c r="F472" s="18">
        <v>1</v>
      </c>
      <c r="G472" s="49">
        <f t="shared" si="84"/>
        <v>0.027777777777777776</v>
      </c>
      <c r="H472" s="50">
        <f t="shared" si="85"/>
        <v>0.03125</v>
      </c>
      <c r="I472" s="7">
        <v>1</v>
      </c>
      <c r="J472" s="49">
        <f t="shared" si="86"/>
        <v>0.06666666666666667</v>
      </c>
      <c r="K472" s="50">
        <f t="shared" si="87"/>
        <v>0.06666666666666667</v>
      </c>
    </row>
    <row r="473" spans="1:11" ht="11.25">
      <c r="A473" s="18"/>
      <c r="B473" s="44" t="s">
        <v>96</v>
      </c>
      <c r="C473" s="18">
        <v>13</v>
      </c>
      <c r="D473" s="49">
        <f t="shared" si="82"/>
        <v>0.02574257425742574</v>
      </c>
      <c r="E473" s="50">
        <f t="shared" si="83"/>
        <v>0.027426160337552744</v>
      </c>
      <c r="F473" s="18">
        <v>0</v>
      </c>
      <c r="G473" s="49">
        <f t="shared" si="84"/>
        <v>0</v>
      </c>
      <c r="H473" s="50">
        <f t="shared" si="85"/>
        <v>0</v>
      </c>
      <c r="I473" s="7">
        <v>0</v>
      </c>
      <c r="J473" s="49">
        <f t="shared" si="86"/>
        <v>0</v>
      </c>
      <c r="K473" s="50">
        <f t="shared" si="87"/>
        <v>0</v>
      </c>
    </row>
    <row r="474" spans="1:11" ht="11.25">
      <c r="A474" s="18"/>
      <c r="B474" s="44" t="s">
        <v>97</v>
      </c>
      <c r="C474" s="18">
        <v>8</v>
      </c>
      <c r="D474" s="49">
        <f t="shared" si="82"/>
        <v>0.015841584158415842</v>
      </c>
      <c r="E474" s="50">
        <f t="shared" si="83"/>
        <v>0.016877637130801686</v>
      </c>
      <c r="F474" s="18">
        <v>0</v>
      </c>
      <c r="G474" s="49">
        <f t="shared" si="84"/>
        <v>0</v>
      </c>
      <c r="H474" s="50">
        <f t="shared" si="85"/>
        <v>0</v>
      </c>
      <c r="I474" s="7">
        <v>0</v>
      </c>
      <c r="J474" s="49">
        <f t="shared" si="86"/>
        <v>0</v>
      </c>
      <c r="K474" s="50">
        <f t="shared" si="87"/>
        <v>0</v>
      </c>
    </row>
    <row r="475" spans="1:11" ht="11.25">
      <c r="A475" s="18"/>
      <c r="B475" s="44" t="s">
        <v>98</v>
      </c>
      <c r="C475" s="18">
        <v>0</v>
      </c>
      <c r="D475" s="49">
        <f t="shared" si="82"/>
        <v>0</v>
      </c>
      <c r="E475" s="50">
        <f t="shared" si="83"/>
        <v>0</v>
      </c>
      <c r="F475" s="18">
        <v>0</v>
      </c>
      <c r="G475" s="49">
        <f t="shared" si="84"/>
        <v>0</v>
      </c>
      <c r="H475" s="50">
        <f t="shared" si="85"/>
        <v>0</v>
      </c>
      <c r="I475" s="7">
        <v>0</v>
      </c>
      <c r="J475" s="49">
        <f t="shared" si="86"/>
        <v>0</v>
      </c>
      <c r="K475" s="50">
        <f t="shared" si="87"/>
        <v>0</v>
      </c>
    </row>
    <row r="476" spans="1:11" ht="11.25">
      <c r="A476" s="18"/>
      <c r="B476" s="44" t="s">
        <v>99</v>
      </c>
      <c r="C476" s="18">
        <v>43</v>
      </c>
      <c r="D476" s="49">
        <f t="shared" si="82"/>
        <v>0.08514851485148515</v>
      </c>
      <c r="E476" s="50">
        <f t="shared" si="83"/>
        <v>0.09071729957805907</v>
      </c>
      <c r="F476" s="18">
        <v>3</v>
      </c>
      <c r="G476" s="49">
        <f t="shared" si="84"/>
        <v>0.08333333333333333</v>
      </c>
      <c r="H476" s="50">
        <f t="shared" si="85"/>
        <v>0.09375</v>
      </c>
      <c r="I476" s="7">
        <v>2</v>
      </c>
      <c r="J476" s="49">
        <f t="shared" si="86"/>
        <v>0.13333333333333333</v>
      </c>
      <c r="K476" s="50">
        <f t="shared" si="87"/>
        <v>0.13333333333333333</v>
      </c>
    </row>
    <row r="477" spans="1:11" ht="11.25">
      <c r="A477" s="18"/>
      <c r="B477" s="44" t="s">
        <v>201</v>
      </c>
      <c r="C477" s="18">
        <v>4</v>
      </c>
      <c r="D477" s="49">
        <f t="shared" si="82"/>
        <v>0.007920792079207921</v>
      </c>
      <c r="E477" s="50">
        <f t="shared" si="83"/>
        <v>0.008438818565400843</v>
      </c>
      <c r="F477" s="18">
        <v>0</v>
      </c>
      <c r="G477" s="49">
        <f t="shared" si="84"/>
        <v>0</v>
      </c>
      <c r="H477" s="50">
        <f t="shared" si="85"/>
        <v>0</v>
      </c>
      <c r="I477" s="7">
        <v>0</v>
      </c>
      <c r="J477" s="49">
        <f t="shared" si="86"/>
        <v>0</v>
      </c>
      <c r="K477" s="50">
        <f t="shared" si="87"/>
        <v>0</v>
      </c>
    </row>
    <row r="478" spans="1:11" ht="9.75" customHeight="1">
      <c r="A478" s="18"/>
      <c r="B478" s="109" t="s">
        <v>122</v>
      </c>
      <c r="C478" s="7"/>
      <c r="D478" s="49"/>
      <c r="E478" s="49"/>
      <c r="F478" s="7" t="s">
        <v>20</v>
      </c>
      <c r="G478" s="49"/>
      <c r="H478" s="49"/>
      <c r="I478" s="7"/>
      <c r="J478" s="49"/>
      <c r="K478" s="81"/>
    </row>
    <row r="479" spans="1:11" ht="11.25">
      <c r="A479" s="13" t="s">
        <v>202</v>
      </c>
      <c r="B479" s="2"/>
      <c r="C479" s="2"/>
      <c r="D479" s="36"/>
      <c r="E479" s="36"/>
      <c r="F479" s="2"/>
      <c r="G479" s="36"/>
      <c r="H479" s="36"/>
      <c r="I479" s="2"/>
      <c r="J479" s="36"/>
      <c r="K479" s="43"/>
    </row>
    <row r="480" spans="1:11" ht="11.25">
      <c r="A480" s="23" t="s">
        <v>203</v>
      </c>
      <c r="B480" s="11"/>
      <c r="C480" s="11"/>
      <c r="D480" s="11"/>
      <c r="E480" s="11"/>
      <c r="F480" s="11" t="s">
        <v>20</v>
      </c>
      <c r="G480" s="11"/>
      <c r="H480" s="11"/>
      <c r="I480" s="11"/>
      <c r="J480" s="11"/>
      <c r="K480" s="12"/>
    </row>
    <row r="481" spans="1:11" ht="13.5" customHeight="1">
      <c r="A481" s="1" t="s">
        <v>0</v>
      </c>
      <c r="B481" s="2"/>
      <c r="C481" s="2"/>
      <c r="D481" s="36"/>
      <c r="E481" s="36"/>
      <c r="F481" s="2" t="s">
        <v>20</v>
      </c>
      <c r="G481" s="36"/>
      <c r="H481" s="36"/>
      <c r="I481" s="2"/>
      <c r="J481" s="36"/>
      <c r="K481" s="4" t="s">
        <v>204</v>
      </c>
    </row>
    <row r="482" spans="1:11" ht="13.5" customHeight="1">
      <c r="A482" s="6" t="s">
        <v>2</v>
      </c>
      <c r="B482" s="7"/>
      <c r="C482" s="7"/>
      <c r="D482" s="7"/>
      <c r="E482" s="7"/>
      <c r="F482" s="7" t="s">
        <v>20</v>
      </c>
      <c r="G482" s="7"/>
      <c r="H482" s="7"/>
      <c r="I482" s="7"/>
      <c r="J482" s="7"/>
      <c r="K482" s="50"/>
    </row>
    <row r="483" spans="1:11" ht="13.5" customHeight="1">
      <c r="A483" s="110" t="s">
        <v>3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2"/>
    </row>
    <row r="484" spans="1:11" ht="12" customHeight="1">
      <c r="A484" s="57" t="s">
        <v>4</v>
      </c>
      <c r="B484" s="11"/>
      <c r="C484" s="11"/>
      <c r="D484" s="11"/>
      <c r="E484" s="11"/>
      <c r="F484" s="11"/>
      <c r="G484" s="11"/>
      <c r="H484" s="11"/>
      <c r="I484" s="11"/>
      <c r="J484" s="11"/>
      <c r="K484" s="12"/>
    </row>
    <row r="485" spans="1:11" ht="12.75">
      <c r="A485" s="13"/>
      <c r="B485" s="14"/>
      <c r="C485" s="92" t="s">
        <v>185</v>
      </c>
      <c r="D485" s="102"/>
      <c r="E485" s="102"/>
      <c r="F485" s="94" t="s">
        <v>186</v>
      </c>
      <c r="G485" s="102"/>
      <c r="H485" s="102"/>
      <c r="I485" s="94" t="s">
        <v>187</v>
      </c>
      <c r="J485" s="102"/>
      <c r="K485" s="106"/>
    </row>
    <row r="486" spans="1:11" ht="13.5" customHeight="1">
      <c r="A486" s="18"/>
      <c r="B486" s="9"/>
      <c r="C486" s="71"/>
      <c r="D486" s="71" t="s">
        <v>5</v>
      </c>
      <c r="E486" s="71" t="s">
        <v>5</v>
      </c>
      <c r="F486" s="97"/>
      <c r="G486" s="71" t="s">
        <v>5</v>
      </c>
      <c r="H486" s="71" t="s">
        <v>5</v>
      </c>
      <c r="I486" s="97"/>
      <c r="J486" s="71" t="s">
        <v>5</v>
      </c>
      <c r="K486" s="73" t="s">
        <v>5</v>
      </c>
    </row>
    <row r="487" spans="1:11" ht="12.75">
      <c r="A487" s="74"/>
      <c r="B487" s="98"/>
      <c r="C487" s="71"/>
      <c r="D487" s="71" t="s">
        <v>7</v>
      </c>
      <c r="E487" s="71" t="s">
        <v>8</v>
      </c>
      <c r="F487" s="97"/>
      <c r="G487" s="71" t="s">
        <v>7</v>
      </c>
      <c r="H487" s="71" t="s">
        <v>8</v>
      </c>
      <c r="I487" s="97"/>
      <c r="J487" s="71" t="s">
        <v>7</v>
      </c>
      <c r="K487" s="73" t="s">
        <v>8</v>
      </c>
    </row>
    <row r="488" spans="1:11" ht="11.25">
      <c r="A488" s="23"/>
      <c r="B488" s="12"/>
      <c r="C488" s="75" t="s">
        <v>9</v>
      </c>
      <c r="D488" s="75" t="s">
        <v>10</v>
      </c>
      <c r="E488" s="75" t="s">
        <v>10</v>
      </c>
      <c r="F488" s="76" t="s">
        <v>9</v>
      </c>
      <c r="G488" s="75" t="s">
        <v>10</v>
      </c>
      <c r="H488" s="75" t="s">
        <v>10</v>
      </c>
      <c r="I488" s="76" t="s">
        <v>9</v>
      </c>
      <c r="J488" s="75" t="s">
        <v>10</v>
      </c>
      <c r="K488" s="77" t="s">
        <v>10</v>
      </c>
    </row>
    <row r="489" spans="1:11" ht="11.25">
      <c r="A489" s="18" t="s">
        <v>124</v>
      </c>
      <c r="B489" s="14" t="s">
        <v>205</v>
      </c>
      <c r="C489" s="71"/>
      <c r="D489" s="71"/>
      <c r="E489" s="71"/>
      <c r="F489" s="97"/>
      <c r="G489" s="71"/>
      <c r="H489" s="71"/>
      <c r="I489" s="111"/>
      <c r="J489" s="71"/>
      <c r="K489" s="73"/>
    </row>
    <row r="490" spans="1:11" ht="11.25">
      <c r="A490" s="18"/>
      <c r="B490" s="44" t="s">
        <v>101</v>
      </c>
      <c r="C490" s="18">
        <v>20</v>
      </c>
      <c r="D490" s="49">
        <f aca="true" t="shared" si="88" ref="D490:D516">C490/totalw1</f>
        <v>0.039603960396039604</v>
      </c>
      <c r="E490" s="50">
        <f aca="true" t="shared" si="89" ref="E490:E515">C490/(totalw1-q8nw)</f>
        <v>0.04219409282700422</v>
      </c>
      <c r="F490" s="18">
        <v>2</v>
      </c>
      <c r="G490" s="49">
        <f aca="true" t="shared" si="90" ref="G490:G516">F490/(totalb1)</f>
        <v>0.05555555555555555</v>
      </c>
      <c r="H490" s="50">
        <f aca="true" t="shared" si="91" ref="H490:H515">F490/(totalb1-q8nb)</f>
        <v>0.0625</v>
      </c>
      <c r="I490" s="7">
        <v>1</v>
      </c>
      <c r="J490" s="49">
        <f aca="true" t="shared" si="92" ref="J490:J516">I490/totalo1</f>
        <v>0.06666666666666667</v>
      </c>
      <c r="K490" s="50">
        <f aca="true" t="shared" si="93" ref="K490:K515">I490/(totalo1-q8no)</f>
        <v>0.06666666666666667</v>
      </c>
    </row>
    <row r="491" spans="1:11" ht="11.25">
      <c r="A491" s="18"/>
      <c r="B491" s="44" t="s">
        <v>102</v>
      </c>
      <c r="C491" s="18">
        <v>18</v>
      </c>
      <c r="D491" s="49">
        <f t="shared" si="88"/>
        <v>0.03564356435643564</v>
      </c>
      <c r="E491" s="50">
        <f t="shared" si="89"/>
        <v>0.0379746835443038</v>
      </c>
      <c r="F491" s="18">
        <v>4</v>
      </c>
      <c r="G491" s="49">
        <f t="shared" si="90"/>
        <v>0.1111111111111111</v>
      </c>
      <c r="H491" s="50">
        <f t="shared" si="91"/>
        <v>0.125</v>
      </c>
      <c r="I491" s="7">
        <v>0</v>
      </c>
      <c r="J491" s="49">
        <f t="shared" si="92"/>
        <v>0</v>
      </c>
      <c r="K491" s="50">
        <f t="shared" si="93"/>
        <v>0</v>
      </c>
    </row>
    <row r="492" spans="1:11" ht="11.25">
      <c r="A492" s="18"/>
      <c r="B492" s="44" t="s">
        <v>103</v>
      </c>
      <c r="C492" s="18">
        <v>0</v>
      </c>
      <c r="D492" s="49">
        <f t="shared" si="88"/>
        <v>0</v>
      </c>
      <c r="E492" s="50">
        <f t="shared" si="89"/>
        <v>0</v>
      </c>
      <c r="F492" s="18">
        <v>0</v>
      </c>
      <c r="G492" s="49">
        <f t="shared" si="90"/>
        <v>0</v>
      </c>
      <c r="H492" s="50">
        <f t="shared" si="91"/>
        <v>0</v>
      </c>
      <c r="I492" s="7">
        <v>0</v>
      </c>
      <c r="J492" s="49">
        <f t="shared" si="92"/>
        <v>0</v>
      </c>
      <c r="K492" s="50">
        <f t="shared" si="93"/>
        <v>0</v>
      </c>
    </row>
    <row r="493" spans="1:11" ht="11.25">
      <c r="A493" s="18"/>
      <c r="B493" s="44" t="s">
        <v>104</v>
      </c>
      <c r="C493" s="18">
        <v>3</v>
      </c>
      <c r="D493" s="49">
        <f t="shared" si="88"/>
        <v>0.005940594059405941</v>
      </c>
      <c r="E493" s="50">
        <f t="shared" si="89"/>
        <v>0.006329113924050633</v>
      </c>
      <c r="F493" s="18">
        <v>0</v>
      </c>
      <c r="G493" s="49">
        <f t="shared" si="90"/>
        <v>0</v>
      </c>
      <c r="H493" s="50">
        <f t="shared" si="91"/>
        <v>0</v>
      </c>
      <c r="I493" s="7">
        <v>1</v>
      </c>
      <c r="J493" s="49">
        <f t="shared" si="92"/>
        <v>0.06666666666666667</v>
      </c>
      <c r="K493" s="50">
        <f t="shared" si="93"/>
        <v>0.06666666666666667</v>
      </c>
    </row>
    <row r="494" spans="1:11" ht="11.25">
      <c r="A494" s="18"/>
      <c r="B494" s="44" t="s">
        <v>105</v>
      </c>
      <c r="C494" s="18">
        <v>12</v>
      </c>
      <c r="D494" s="49">
        <f t="shared" si="88"/>
        <v>0.023762376237623763</v>
      </c>
      <c r="E494" s="50">
        <f t="shared" si="89"/>
        <v>0.02531645569620253</v>
      </c>
      <c r="F494" s="18">
        <v>1</v>
      </c>
      <c r="G494" s="49">
        <f t="shared" si="90"/>
        <v>0.027777777777777776</v>
      </c>
      <c r="H494" s="50">
        <f t="shared" si="91"/>
        <v>0.03125</v>
      </c>
      <c r="I494" s="7">
        <v>1</v>
      </c>
      <c r="J494" s="49">
        <f t="shared" si="92"/>
        <v>0.06666666666666667</v>
      </c>
      <c r="K494" s="50">
        <f t="shared" si="93"/>
        <v>0.06666666666666667</v>
      </c>
    </row>
    <row r="495" spans="1:11" ht="11.25">
      <c r="A495" s="18"/>
      <c r="B495" s="44" t="s">
        <v>106</v>
      </c>
      <c r="C495" s="18">
        <v>18</v>
      </c>
      <c r="D495" s="49">
        <f t="shared" si="88"/>
        <v>0.03564356435643564</v>
      </c>
      <c r="E495" s="50">
        <f t="shared" si="89"/>
        <v>0.0379746835443038</v>
      </c>
      <c r="F495" s="18">
        <v>3</v>
      </c>
      <c r="G495" s="49">
        <f t="shared" si="90"/>
        <v>0.08333333333333333</v>
      </c>
      <c r="H495" s="50">
        <f t="shared" si="91"/>
        <v>0.09375</v>
      </c>
      <c r="I495" s="7">
        <v>0</v>
      </c>
      <c r="J495" s="49">
        <f t="shared" si="92"/>
        <v>0</v>
      </c>
      <c r="K495" s="50">
        <f t="shared" si="93"/>
        <v>0</v>
      </c>
    </row>
    <row r="496" spans="1:11" ht="11.25">
      <c r="A496" s="18"/>
      <c r="B496" s="44" t="s">
        <v>107</v>
      </c>
      <c r="C496" s="18">
        <v>15</v>
      </c>
      <c r="D496" s="49">
        <f t="shared" si="88"/>
        <v>0.0297029702970297</v>
      </c>
      <c r="E496" s="50">
        <f t="shared" si="89"/>
        <v>0.03164556962025317</v>
      </c>
      <c r="F496" s="18">
        <v>0</v>
      </c>
      <c r="G496" s="49">
        <f t="shared" si="90"/>
        <v>0</v>
      </c>
      <c r="H496" s="50">
        <f t="shared" si="91"/>
        <v>0</v>
      </c>
      <c r="I496" s="7">
        <v>0</v>
      </c>
      <c r="J496" s="49">
        <f t="shared" si="92"/>
        <v>0</v>
      </c>
      <c r="K496" s="50">
        <f t="shared" si="93"/>
        <v>0</v>
      </c>
    </row>
    <row r="497" spans="1:11" ht="11.25">
      <c r="A497" s="18"/>
      <c r="B497" s="44" t="s">
        <v>108</v>
      </c>
      <c r="C497" s="18">
        <v>20</v>
      </c>
      <c r="D497" s="49">
        <f t="shared" si="88"/>
        <v>0.039603960396039604</v>
      </c>
      <c r="E497" s="50">
        <f t="shared" si="89"/>
        <v>0.04219409282700422</v>
      </c>
      <c r="F497" s="18">
        <v>1</v>
      </c>
      <c r="G497" s="49">
        <f t="shared" si="90"/>
        <v>0.027777777777777776</v>
      </c>
      <c r="H497" s="50">
        <f t="shared" si="91"/>
        <v>0.03125</v>
      </c>
      <c r="I497" s="7">
        <v>0</v>
      </c>
      <c r="J497" s="49">
        <f t="shared" si="92"/>
        <v>0</v>
      </c>
      <c r="K497" s="50">
        <f t="shared" si="93"/>
        <v>0</v>
      </c>
    </row>
    <row r="498" spans="1:11" ht="11.25">
      <c r="A498" s="18"/>
      <c r="B498" s="44" t="s">
        <v>109</v>
      </c>
      <c r="C498" s="18">
        <v>15</v>
      </c>
      <c r="D498" s="49">
        <f t="shared" si="88"/>
        <v>0.0297029702970297</v>
      </c>
      <c r="E498" s="50">
        <f t="shared" si="89"/>
        <v>0.03164556962025317</v>
      </c>
      <c r="F498" s="18">
        <v>5</v>
      </c>
      <c r="G498" s="49">
        <f t="shared" si="90"/>
        <v>0.1388888888888889</v>
      </c>
      <c r="H498" s="50">
        <f t="shared" si="91"/>
        <v>0.15625</v>
      </c>
      <c r="I498" s="7">
        <v>2</v>
      </c>
      <c r="J498" s="49">
        <f t="shared" si="92"/>
        <v>0.13333333333333333</v>
      </c>
      <c r="K498" s="50">
        <f t="shared" si="93"/>
        <v>0.13333333333333333</v>
      </c>
    </row>
    <row r="499" spans="1:11" ht="11.25">
      <c r="A499" s="18"/>
      <c r="B499" s="44" t="s">
        <v>110</v>
      </c>
      <c r="C499" s="18">
        <v>23</v>
      </c>
      <c r="D499" s="49">
        <f t="shared" si="88"/>
        <v>0.04554455445544554</v>
      </c>
      <c r="E499" s="50">
        <f t="shared" si="89"/>
        <v>0.04852320675105485</v>
      </c>
      <c r="F499" s="18">
        <v>3</v>
      </c>
      <c r="G499" s="49">
        <f t="shared" si="90"/>
        <v>0.08333333333333333</v>
      </c>
      <c r="H499" s="50">
        <f t="shared" si="91"/>
        <v>0.09375</v>
      </c>
      <c r="I499" s="7">
        <v>0</v>
      </c>
      <c r="J499" s="49">
        <f t="shared" si="92"/>
        <v>0</v>
      </c>
      <c r="K499" s="50">
        <f t="shared" si="93"/>
        <v>0</v>
      </c>
    </row>
    <row r="500" spans="1:11" ht="11.25">
      <c r="A500" s="18"/>
      <c r="B500" s="44" t="s">
        <v>111</v>
      </c>
      <c r="C500" s="18">
        <v>7</v>
      </c>
      <c r="D500" s="49">
        <f t="shared" si="88"/>
        <v>0.013861386138613862</v>
      </c>
      <c r="E500" s="50">
        <f t="shared" si="89"/>
        <v>0.014767932489451477</v>
      </c>
      <c r="F500" s="18">
        <v>0</v>
      </c>
      <c r="G500" s="49">
        <f t="shared" si="90"/>
        <v>0</v>
      </c>
      <c r="H500" s="50">
        <f t="shared" si="91"/>
        <v>0</v>
      </c>
      <c r="I500" s="7">
        <v>0</v>
      </c>
      <c r="J500" s="49">
        <f t="shared" si="92"/>
        <v>0</v>
      </c>
      <c r="K500" s="50">
        <f t="shared" si="93"/>
        <v>0</v>
      </c>
    </row>
    <row r="501" spans="1:11" ht="11.25">
      <c r="A501" s="18"/>
      <c r="B501" s="44" t="s">
        <v>112</v>
      </c>
      <c r="C501" s="18">
        <v>3</v>
      </c>
      <c r="D501" s="49">
        <f t="shared" si="88"/>
        <v>0.005940594059405941</v>
      </c>
      <c r="E501" s="50">
        <f t="shared" si="89"/>
        <v>0.006329113924050633</v>
      </c>
      <c r="F501" s="18">
        <v>0</v>
      </c>
      <c r="G501" s="49">
        <f t="shared" si="90"/>
        <v>0</v>
      </c>
      <c r="H501" s="50">
        <f t="shared" si="91"/>
        <v>0</v>
      </c>
      <c r="I501" s="7">
        <v>0</v>
      </c>
      <c r="J501" s="49">
        <f t="shared" si="92"/>
        <v>0</v>
      </c>
      <c r="K501" s="50">
        <f t="shared" si="93"/>
        <v>0</v>
      </c>
    </row>
    <row r="502" spans="1:11" ht="11.25">
      <c r="A502" s="18"/>
      <c r="B502" s="44" t="s">
        <v>183</v>
      </c>
      <c r="C502" s="18">
        <v>4</v>
      </c>
      <c r="D502" s="49">
        <f t="shared" si="88"/>
        <v>0.007920792079207921</v>
      </c>
      <c r="E502" s="50">
        <f t="shared" si="89"/>
        <v>0.008438818565400843</v>
      </c>
      <c r="F502" s="18">
        <v>0</v>
      </c>
      <c r="G502" s="49">
        <f t="shared" si="90"/>
        <v>0</v>
      </c>
      <c r="H502" s="50">
        <f t="shared" si="91"/>
        <v>0</v>
      </c>
      <c r="I502" s="7">
        <v>0</v>
      </c>
      <c r="J502" s="49">
        <f t="shared" si="92"/>
        <v>0</v>
      </c>
      <c r="K502" s="50">
        <f t="shared" si="93"/>
        <v>0</v>
      </c>
    </row>
    <row r="503" spans="1:11" ht="11.25">
      <c r="A503" s="18"/>
      <c r="B503" s="44" t="s">
        <v>114</v>
      </c>
      <c r="C503" s="18">
        <v>6</v>
      </c>
      <c r="D503" s="49">
        <f t="shared" si="88"/>
        <v>0.011881188118811881</v>
      </c>
      <c r="E503" s="50">
        <f t="shared" si="89"/>
        <v>0.012658227848101266</v>
      </c>
      <c r="F503" s="18">
        <v>0</v>
      </c>
      <c r="G503" s="49">
        <f t="shared" si="90"/>
        <v>0</v>
      </c>
      <c r="H503" s="50">
        <f t="shared" si="91"/>
        <v>0</v>
      </c>
      <c r="I503" s="7">
        <v>0</v>
      </c>
      <c r="J503" s="49">
        <f t="shared" si="92"/>
        <v>0</v>
      </c>
      <c r="K503" s="50">
        <f t="shared" si="93"/>
        <v>0</v>
      </c>
    </row>
    <row r="504" spans="1:11" ht="11.25">
      <c r="A504" s="18"/>
      <c r="B504" s="44" t="s">
        <v>115</v>
      </c>
      <c r="C504" s="18">
        <v>31</v>
      </c>
      <c r="D504" s="49">
        <f t="shared" si="88"/>
        <v>0.061386138613861385</v>
      </c>
      <c r="E504" s="50">
        <f t="shared" si="89"/>
        <v>0.06540084388185655</v>
      </c>
      <c r="F504" s="18">
        <v>1</v>
      </c>
      <c r="G504" s="49">
        <f t="shared" si="90"/>
        <v>0.027777777777777776</v>
      </c>
      <c r="H504" s="50">
        <f t="shared" si="91"/>
        <v>0.03125</v>
      </c>
      <c r="I504" s="7">
        <v>1</v>
      </c>
      <c r="J504" s="49">
        <f t="shared" si="92"/>
        <v>0.06666666666666667</v>
      </c>
      <c r="K504" s="50">
        <f t="shared" si="93"/>
        <v>0.06666666666666667</v>
      </c>
    </row>
    <row r="505" spans="1:11" ht="11.25">
      <c r="A505" s="18"/>
      <c r="B505" s="44" t="s">
        <v>116</v>
      </c>
      <c r="C505" s="18">
        <v>35</v>
      </c>
      <c r="D505" s="49">
        <f t="shared" si="88"/>
        <v>0.06930693069306931</v>
      </c>
      <c r="E505" s="50">
        <f t="shared" si="89"/>
        <v>0.07383966244725738</v>
      </c>
      <c r="F505" s="18">
        <v>0</v>
      </c>
      <c r="G505" s="49">
        <f t="shared" si="90"/>
        <v>0</v>
      </c>
      <c r="H505" s="50">
        <f t="shared" si="91"/>
        <v>0</v>
      </c>
      <c r="I505" s="7">
        <v>0</v>
      </c>
      <c r="J505" s="49">
        <f t="shared" si="92"/>
        <v>0</v>
      </c>
      <c r="K505" s="50">
        <f t="shared" si="93"/>
        <v>0</v>
      </c>
    </row>
    <row r="506" spans="1:11" ht="11.25">
      <c r="A506" s="18"/>
      <c r="B506" s="44" t="s">
        <v>117</v>
      </c>
      <c r="C506" s="18">
        <v>8</v>
      </c>
      <c r="D506" s="49">
        <f t="shared" si="88"/>
        <v>0.015841584158415842</v>
      </c>
      <c r="E506" s="50">
        <f t="shared" si="89"/>
        <v>0.016877637130801686</v>
      </c>
      <c r="F506" s="18">
        <v>1</v>
      </c>
      <c r="G506" s="49">
        <f t="shared" si="90"/>
        <v>0.027777777777777776</v>
      </c>
      <c r="H506" s="50">
        <f t="shared" si="91"/>
        <v>0.03125</v>
      </c>
      <c r="I506" s="7">
        <v>0</v>
      </c>
      <c r="J506" s="49">
        <f t="shared" si="92"/>
        <v>0</v>
      </c>
      <c r="K506" s="50">
        <f t="shared" si="93"/>
        <v>0</v>
      </c>
    </row>
    <row r="507" spans="1:11" ht="11.25">
      <c r="A507" s="18"/>
      <c r="B507" s="44" t="s">
        <v>118</v>
      </c>
      <c r="C507" s="18">
        <v>13</v>
      </c>
      <c r="D507" s="49">
        <f t="shared" si="88"/>
        <v>0.02574257425742574</v>
      </c>
      <c r="E507" s="50">
        <f t="shared" si="89"/>
        <v>0.027426160337552744</v>
      </c>
      <c r="F507" s="18">
        <v>0</v>
      </c>
      <c r="G507" s="49">
        <f t="shared" si="90"/>
        <v>0</v>
      </c>
      <c r="H507" s="50">
        <f t="shared" si="91"/>
        <v>0</v>
      </c>
      <c r="I507" s="7">
        <v>1</v>
      </c>
      <c r="J507" s="49">
        <f t="shared" si="92"/>
        <v>0.06666666666666667</v>
      </c>
      <c r="K507" s="50">
        <f t="shared" si="93"/>
        <v>0.06666666666666667</v>
      </c>
    </row>
    <row r="508" spans="1:11" ht="11.25">
      <c r="A508" s="18"/>
      <c r="B508" s="44" t="s">
        <v>119</v>
      </c>
      <c r="C508" s="18">
        <v>1</v>
      </c>
      <c r="D508" s="49">
        <f t="shared" si="88"/>
        <v>0.0019801980198019802</v>
      </c>
      <c r="E508" s="50">
        <f t="shared" si="89"/>
        <v>0.002109704641350211</v>
      </c>
      <c r="F508" s="18">
        <v>0</v>
      </c>
      <c r="G508" s="49">
        <f t="shared" si="90"/>
        <v>0</v>
      </c>
      <c r="H508" s="50">
        <f t="shared" si="91"/>
        <v>0</v>
      </c>
      <c r="I508" s="7">
        <v>0</v>
      </c>
      <c r="J508" s="49">
        <f t="shared" si="92"/>
        <v>0</v>
      </c>
      <c r="K508" s="50">
        <f t="shared" si="93"/>
        <v>0</v>
      </c>
    </row>
    <row r="509" spans="1:11" ht="11.25">
      <c r="A509" s="18"/>
      <c r="B509" s="44" t="s">
        <v>120</v>
      </c>
      <c r="C509" s="18">
        <v>6</v>
      </c>
      <c r="D509" s="49">
        <f t="shared" si="88"/>
        <v>0.011881188118811881</v>
      </c>
      <c r="E509" s="50">
        <f t="shared" si="89"/>
        <v>0.012658227848101266</v>
      </c>
      <c r="F509" s="18">
        <v>0</v>
      </c>
      <c r="G509" s="49">
        <f t="shared" si="90"/>
        <v>0</v>
      </c>
      <c r="H509" s="50">
        <f t="shared" si="91"/>
        <v>0</v>
      </c>
      <c r="I509" s="7">
        <v>0</v>
      </c>
      <c r="J509" s="49">
        <f t="shared" si="92"/>
        <v>0</v>
      </c>
      <c r="K509" s="50">
        <f t="shared" si="93"/>
        <v>0</v>
      </c>
    </row>
    <row r="510" spans="1:11" ht="11.25">
      <c r="A510" s="18"/>
      <c r="B510" s="44" t="s">
        <v>121</v>
      </c>
      <c r="C510" s="18">
        <v>1</v>
      </c>
      <c r="D510" s="49">
        <f t="shared" si="88"/>
        <v>0.0019801980198019802</v>
      </c>
      <c r="E510" s="50">
        <f t="shared" si="89"/>
        <v>0.002109704641350211</v>
      </c>
      <c r="F510" s="18">
        <v>0</v>
      </c>
      <c r="G510" s="49">
        <f t="shared" si="90"/>
        <v>0</v>
      </c>
      <c r="H510" s="50">
        <f t="shared" si="91"/>
        <v>0</v>
      </c>
      <c r="I510" s="7">
        <v>0</v>
      </c>
      <c r="J510" s="49">
        <f t="shared" si="92"/>
        <v>0</v>
      </c>
      <c r="K510" s="50">
        <f t="shared" si="93"/>
        <v>0</v>
      </c>
    </row>
    <row r="511" spans="1:11" ht="11.25">
      <c r="A511" s="18"/>
      <c r="B511" s="44" t="s">
        <v>126</v>
      </c>
      <c r="C511" s="18">
        <v>2</v>
      </c>
      <c r="D511" s="49">
        <f t="shared" si="88"/>
        <v>0.0039603960396039604</v>
      </c>
      <c r="E511" s="50">
        <f t="shared" si="89"/>
        <v>0.004219409282700422</v>
      </c>
      <c r="F511" s="18">
        <v>0</v>
      </c>
      <c r="G511" s="49">
        <f t="shared" si="90"/>
        <v>0</v>
      </c>
      <c r="H511" s="50">
        <f t="shared" si="91"/>
        <v>0</v>
      </c>
      <c r="I511" s="7">
        <v>0</v>
      </c>
      <c r="J511" s="49">
        <f t="shared" si="92"/>
        <v>0</v>
      </c>
      <c r="K511" s="50">
        <f t="shared" si="93"/>
        <v>0</v>
      </c>
    </row>
    <row r="512" spans="1:11" ht="11.25">
      <c r="A512" s="18"/>
      <c r="B512" s="44" t="s">
        <v>127</v>
      </c>
      <c r="C512" s="18">
        <v>0</v>
      </c>
      <c r="D512" s="49">
        <f t="shared" si="88"/>
        <v>0</v>
      </c>
      <c r="E512" s="50">
        <f t="shared" si="89"/>
        <v>0</v>
      </c>
      <c r="F512" s="18">
        <v>0</v>
      </c>
      <c r="G512" s="49">
        <f t="shared" si="90"/>
        <v>0</v>
      </c>
      <c r="H512" s="50">
        <f t="shared" si="91"/>
        <v>0</v>
      </c>
      <c r="I512" s="7">
        <v>0</v>
      </c>
      <c r="J512" s="49">
        <f t="shared" si="92"/>
        <v>0</v>
      </c>
      <c r="K512" s="50">
        <f t="shared" si="93"/>
        <v>0</v>
      </c>
    </row>
    <row r="513" spans="1:11" ht="11.25">
      <c r="A513" s="18"/>
      <c r="B513" s="44" t="s">
        <v>128</v>
      </c>
      <c r="C513" s="18">
        <v>2</v>
      </c>
      <c r="D513" s="49">
        <f t="shared" si="88"/>
        <v>0.0039603960396039604</v>
      </c>
      <c r="E513" s="50">
        <f t="shared" si="89"/>
        <v>0.004219409282700422</v>
      </c>
      <c r="F513" s="18">
        <v>0</v>
      </c>
      <c r="G513" s="49">
        <f t="shared" si="90"/>
        <v>0</v>
      </c>
      <c r="H513" s="50">
        <f t="shared" si="91"/>
        <v>0</v>
      </c>
      <c r="I513" s="7">
        <v>0</v>
      </c>
      <c r="J513" s="49">
        <f t="shared" si="92"/>
        <v>0</v>
      </c>
      <c r="K513" s="50">
        <f t="shared" si="93"/>
        <v>0</v>
      </c>
    </row>
    <row r="514" spans="1:11" ht="11.25">
      <c r="A514" s="18"/>
      <c r="B514" s="44" t="s">
        <v>129</v>
      </c>
      <c r="C514" s="18">
        <v>1</v>
      </c>
      <c r="D514" s="49">
        <f t="shared" si="88"/>
        <v>0.0019801980198019802</v>
      </c>
      <c r="E514" s="50">
        <f t="shared" si="89"/>
        <v>0.002109704641350211</v>
      </c>
      <c r="F514" s="18">
        <v>0</v>
      </c>
      <c r="G514" s="49">
        <f t="shared" si="90"/>
        <v>0</v>
      </c>
      <c r="H514" s="50">
        <f t="shared" si="91"/>
        <v>0</v>
      </c>
      <c r="I514" s="7">
        <v>0</v>
      </c>
      <c r="J514" s="49">
        <f t="shared" si="92"/>
        <v>0</v>
      </c>
      <c r="K514" s="50">
        <f t="shared" si="93"/>
        <v>0</v>
      </c>
    </row>
    <row r="515" spans="1:11" ht="11.25">
      <c r="A515" s="18"/>
      <c r="B515" s="44" t="s">
        <v>130</v>
      </c>
      <c r="C515" s="18">
        <v>6</v>
      </c>
      <c r="D515" s="49">
        <f t="shared" si="88"/>
        <v>0.011881188118811881</v>
      </c>
      <c r="E515" s="50">
        <f t="shared" si="89"/>
        <v>0.012658227848101266</v>
      </c>
      <c r="F515" s="18">
        <v>0</v>
      </c>
      <c r="G515" s="49">
        <f t="shared" si="90"/>
        <v>0</v>
      </c>
      <c r="H515" s="50">
        <f t="shared" si="91"/>
        <v>0</v>
      </c>
      <c r="I515" s="7">
        <v>0</v>
      </c>
      <c r="J515" s="49">
        <f t="shared" si="92"/>
        <v>0</v>
      </c>
      <c r="K515" s="50">
        <f t="shared" si="93"/>
        <v>0</v>
      </c>
    </row>
    <row r="516" spans="1:11" ht="11.25">
      <c r="A516" s="23"/>
      <c r="B516" s="47" t="s">
        <v>18</v>
      </c>
      <c r="C516" s="23">
        <v>31</v>
      </c>
      <c r="D516" s="59">
        <f t="shared" si="88"/>
        <v>0.061386138613861385</v>
      </c>
      <c r="E516" s="79" t="s">
        <v>19</v>
      </c>
      <c r="F516" s="23">
        <v>4</v>
      </c>
      <c r="G516" s="59">
        <f t="shared" si="90"/>
        <v>0.1111111111111111</v>
      </c>
      <c r="H516" s="79" t="s">
        <v>19</v>
      </c>
      <c r="I516" s="11">
        <v>0</v>
      </c>
      <c r="J516" s="59">
        <f t="shared" si="92"/>
        <v>0</v>
      </c>
      <c r="K516" s="79" t="s">
        <v>19</v>
      </c>
    </row>
    <row r="517" spans="1:11" ht="11.25">
      <c r="A517" s="18" t="s">
        <v>206</v>
      </c>
      <c r="B517" s="7"/>
      <c r="C517" s="7"/>
      <c r="D517" s="49"/>
      <c r="E517" s="49"/>
      <c r="F517" s="49"/>
      <c r="G517" s="49"/>
      <c r="H517" s="49"/>
      <c r="I517" s="7"/>
      <c r="J517" s="7"/>
      <c r="K517" s="14"/>
    </row>
    <row r="518" spans="1:11" ht="11.25">
      <c r="A518" s="112"/>
      <c r="B518" s="113"/>
      <c r="C518" s="11"/>
      <c r="D518" s="11"/>
      <c r="E518" s="11"/>
      <c r="F518" s="11"/>
      <c r="G518" s="11"/>
      <c r="H518" s="11"/>
      <c r="I518" s="11"/>
      <c r="J518" s="11"/>
      <c r="K518" s="12"/>
    </row>
    <row r="519" spans="1:11" ht="13.5" customHeight="1">
      <c r="A519" s="1" t="s">
        <v>0</v>
      </c>
      <c r="B519" s="2"/>
      <c r="C519" s="2"/>
      <c r="D519" s="36"/>
      <c r="E519" s="36"/>
      <c r="F519" s="2"/>
      <c r="G519" s="36"/>
      <c r="H519" s="36"/>
      <c r="I519" s="2"/>
      <c r="J519" s="36"/>
      <c r="K519" s="4" t="s">
        <v>207</v>
      </c>
    </row>
    <row r="520" spans="1:11" ht="13.5" customHeight="1">
      <c r="A520" s="6" t="s">
        <v>2</v>
      </c>
      <c r="B520" s="7"/>
      <c r="C520" s="7"/>
      <c r="D520" s="7"/>
      <c r="E520" s="7"/>
      <c r="F520" s="7"/>
      <c r="G520" s="7"/>
      <c r="H520" s="7"/>
      <c r="I520" s="7"/>
      <c r="J520" s="7"/>
      <c r="K520" s="50"/>
    </row>
    <row r="521" spans="1:11" ht="13.5" customHeight="1">
      <c r="A521" s="110" t="s">
        <v>3</v>
      </c>
      <c r="B521" s="11"/>
      <c r="C521" s="11"/>
      <c r="D521" s="11"/>
      <c r="E521" s="11"/>
      <c r="F521" s="11"/>
      <c r="G521" s="11"/>
      <c r="H521" s="11"/>
      <c r="I521" s="11"/>
      <c r="J521" s="11"/>
      <c r="K521" s="12"/>
    </row>
    <row r="522" spans="1:11" ht="12" customHeight="1">
      <c r="A522" s="57" t="s">
        <v>4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2"/>
    </row>
    <row r="523" spans="1:11" ht="12.75">
      <c r="A523" s="13"/>
      <c r="B523" s="14"/>
      <c r="C523" s="92" t="s">
        <v>185</v>
      </c>
      <c r="D523" s="102"/>
      <c r="E523" s="102"/>
      <c r="F523" s="94" t="s">
        <v>186</v>
      </c>
      <c r="G523" s="102"/>
      <c r="H523" s="102"/>
      <c r="I523" s="94" t="s">
        <v>187</v>
      </c>
      <c r="J523" s="102"/>
      <c r="K523" s="106"/>
    </row>
    <row r="524" spans="1:11" ht="13.5" customHeight="1">
      <c r="A524" s="18"/>
      <c r="B524" s="9"/>
      <c r="C524" s="71"/>
      <c r="D524" s="71" t="s">
        <v>5</v>
      </c>
      <c r="E524" s="71" t="s">
        <v>5</v>
      </c>
      <c r="F524" s="97"/>
      <c r="G524" s="71" t="s">
        <v>5</v>
      </c>
      <c r="H524" s="71" t="s">
        <v>5</v>
      </c>
      <c r="I524" s="97"/>
      <c r="J524" s="71" t="s">
        <v>5</v>
      </c>
      <c r="K524" s="73" t="s">
        <v>5</v>
      </c>
    </row>
    <row r="525" spans="1:11" ht="12.75">
      <c r="A525" s="74"/>
      <c r="B525" s="98"/>
      <c r="C525" s="71"/>
      <c r="D525" s="71" t="s">
        <v>7</v>
      </c>
      <c r="E525" s="71" t="s">
        <v>8</v>
      </c>
      <c r="F525" s="97"/>
      <c r="G525" s="71" t="s">
        <v>7</v>
      </c>
      <c r="H525" s="71" t="s">
        <v>8</v>
      </c>
      <c r="I525" s="97"/>
      <c r="J525" s="71" t="s">
        <v>7</v>
      </c>
      <c r="K525" s="73" t="s">
        <v>8</v>
      </c>
    </row>
    <row r="526" spans="1:11" ht="11.25">
      <c r="A526" s="23"/>
      <c r="B526" s="12"/>
      <c r="C526" s="75" t="s">
        <v>9</v>
      </c>
      <c r="D526" s="75" t="s">
        <v>10</v>
      </c>
      <c r="E526" s="75" t="s">
        <v>10</v>
      </c>
      <c r="F526" s="76" t="s">
        <v>9</v>
      </c>
      <c r="G526" s="75" t="s">
        <v>10</v>
      </c>
      <c r="H526" s="75" t="s">
        <v>10</v>
      </c>
      <c r="I526" s="76" t="s">
        <v>9</v>
      </c>
      <c r="J526" s="75" t="s">
        <v>10</v>
      </c>
      <c r="K526" s="77" t="s">
        <v>10</v>
      </c>
    </row>
    <row r="527" spans="1:11" ht="11.25">
      <c r="A527" s="53" t="s">
        <v>131</v>
      </c>
      <c r="B527" s="54" t="s">
        <v>132</v>
      </c>
      <c r="C527" s="13"/>
      <c r="D527" s="36"/>
      <c r="E527" s="43"/>
      <c r="F527" s="13"/>
      <c r="G527" s="36"/>
      <c r="H527" s="43"/>
      <c r="I527" s="13"/>
      <c r="J527" s="36"/>
      <c r="K527" s="43"/>
    </row>
    <row r="528" spans="1:11" ht="11.25">
      <c r="A528" s="18"/>
      <c r="B528" s="45" t="s">
        <v>133</v>
      </c>
      <c r="C528" s="18">
        <v>4</v>
      </c>
      <c r="D528" s="49">
        <f aca="true" t="shared" si="94" ref="D528:D548">C528/totalw1</f>
        <v>0.007920792079207921</v>
      </c>
      <c r="E528" s="50">
        <f aca="true" t="shared" si="95" ref="E528:E547">C528/(totalw1-q10nw)</f>
        <v>0.0110803324099723</v>
      </c>
      <c r="F528" s="18">
        <v>0</v>
      </c>
      <c r="G528" s="49">
        <f aca="true" t="shared" si="96" ref="G528:G548">F528/(totalb1)</f>
        <v>0</v>
      </c>
      <c r="H528" s="50">
        <f aca="true" t="shared" si="97" ref="H528:H547">F528/(totalb1-q10nb)</f>
        <v>0</v>
      </c>
      <c r="I528" s="18">
        <v>0</v>
      </c>
      <c r="J528" s="49">
        <f aca="true" t="shared" si="98" ref="J528:J548">I528/totalo1</f>
        <v>0</v>
      </c>
      <c r="K528" s="50">
        <f aca="true" t="shared" si="99" ref="K528:K547">I528/(totalo1-q10no)</f>
        <v>0</v>
      </c>
    </row>
    <row r="529" spans="1:11" ht="11.25">
      <c r="A529" s="18"/>
      <c r="B529" s="45" t="s">
        <v>134</v>
      </c>
      <c r="C529" s="18">
        <v>1</v>
      </c>
      <c r="D529" s="49">
        <f t="shared" si="94"/>
        <v>0.0019801980198019802</v>
      </c>
      <c r="E529" s="50">
        <f t="shared" si="95"/>
        <v>0.002770083102493075</v>
      </c>
      <c r="F529" s="18">
        <v>0</v>
      </c>
      <c r="G529" s="49">
        <f t="shared" si="96"/>
        <v>0</v>
      </c>
      <c r="H529" s="50">
        <f t="shared" si="97"/>
        <v>0</v>
      </c>
      <c r="I529" s="18">
        <v>0</v>
      </c>
      <c r="J529" s="49">
        <f t="shared" si="98"/>
        <v>0</v>
      </c>
      <c r="K529" s="50">
        <f t="shared" si="99"/>
        <v>0</v>
      </c>
    </row>
    <row r="530" spans="1:11" ht="11.25">
      <c r="A530" s="18"/>
      <c r="B530" s="45" t="s">
        <v>135</v>
      </c>
      <c r="C530" s="18">
        <v>6</v>
      </c>
      <c r="D530" s="49">
        <f t="shared" si="94"/>
        <v>0.011881188118811881</v>
      </c>
      <c r="E530" s="50">
        <f t="shared" si="95"/>
        <v>0.01662049861495845</v>
      </c>
      <c r="F530" s="18">
        <v>0</v>
      </c>
      <c r="G530" s="49">
        <f t="shared" si="96"/>
        <v>0</v>
      </c>
      <c r="H530" s="50">
        <f t="shared" si="97"/>
        <v>0</v>
      </c>
      <c r="I530" s="18">
        <v>0</v>
      </c>
      <c r="J530" s="49">
        <f t="shared" si="98"/>
        <v>0</v>
      </c>
      <c r="K530" s="50">
        <f t="shared" si="99"/>
        <v>0</v>
      </c>
    </row>
    <row r="531" spans="1:11" ht="11.25">
      <c r="A531" s="18"/>
      <c r="B531" s="45" t="s">
        <v>136</v>
      </c>
      <c r="C531" s="18">
        <v>11</v>
      </c>
      <c r="D531" s="49">
        <f t="shared" si="94"/>
        <v>0.02178217821782178</v>
      </c>
      <c r="E531" s="50">
        <f t="shared" si="95"/>
        <v>0.030470914127423823</v>
      </c>
      <c r="F531" s="18">
        <v>0</v>
      </c>
      <c r="G531" s="49">
        <f t="shared" si="96"/>
        <v>0</v>
      </c>
      <c r="H531" s="50">
        <f t="shared" si="97"/>
        <v>0</v>
      </c>
      <c r="I531" s="18">
        <v>0</v>
      </c>
      <c r="J531" s="49">
        <f t="shared" si="98"/>
        <v>0</v>
      </c>
      <c r="K531" s="50">
        <f t="shared" si="99"/>
        <v>0</v>
      </c>
    </row>
    <row r="532" spans="1:11" ht="11.25">
      <c r="A532" s="18"/>
      <c r="B532" s="45" t="s">
        <v>137</v>
      </c>
      <c r="C532" s="18">
        <v>17</v>
      </c>
      <c r="D532" s="49">
        <f t="shared" si="94"/>
        <v>0.033663366336633666</v>
      </c>
      <c r="E532" s="50">
        <f t="shared" si="95"/>
        <v>0.04709141274238227</v>
      </c>
      <c r="F532" s="18">
        <v>0</v>
      </c>
      <c r="G532" s="49">
        <f t="shared" si="96"/>
        <v>0</v>
      </c>
      <c r="H532" s="50">
        <f t="shared" si="97"/>
        <v>0</v>
      </c>
      <c r="I532" s="18">
        <v>0</v>
      </c>
      <c r="J532" s="49">
        <f t="shared" si="98"/>
        <v>0</v>
      </c>
      <c r="K532" s="50">
        <f t="shared" si="99"/>
        <v>0</v>
      </c>
    </row>
    <row r="533" spans="1:11" ht="11.25">
      <c r="A533" s="18"/>
      <c r="B533" s="45" t="s">
        <v>138</v>
      </c>
      <c r="C533" s="18">
        <v>2</v>
      </c>
      <c r="D533" s="49">
        <f t="shared" si="94"/>
        <v>0.0039603960396039604</v>
      </c>
      <c r="E533" s="50">
        <f t="shared" si="95"/>
        <v>0.00554016620498615</v>
      </c>
      <c r="F533" s="18">
        <v>1</v>
      </c>
      <c r="G533" s="49">
        <f t="shared" si="96"/>
        <v>0.027777777777777776</v>
      </c>
      <c r="H533" s="50">
        <f t="shared" si="97"/>
        <v>0.047619047619047616</v>
      </c>
      <c r="I533" s="18">
        <v>0</v>
      </c>
      <c r="J533" s="49">
        <f t="shared" si="98"/>
        <v>0</v>
      </c>
      <c r="K533" s="50">
        <f t="shared" si="99"/>
        <v>0</v>
      </c>
    </row>
    <row r="534" spans="1:11" ht="11.25">
      <c r="A534" s="18"/>
      <c r="B534" s="45" t="s">
        <v>139</v>
      </c>
      <c r="C534" s="18">
        <v>25</v>
      </c>
      <c r="D534" s="49">
        <f t="shared" si="94"/>
        <v>0.04950495049504951</v>
      </c>
      <c r="E534" s="50">
        <f t="shared" si="95"/>
        <v>0.06925207756232687</v>
      </c>
      <c r="F534" s="18">
        <v>1</v>
      </c>
      <c r="G534" s="49">
        <f t="shared" si="96"/>
        <v>0.027777777777777776</v>
      </c>
      <c r="H534" s="50">
        <f t="shared" si="97"/>
        <v>0.047619047619047616</v>
      </c>
      <c r="I534" s="18">
        <v>0</v>
      </c>
      <c r="J534" s="49">
        <f t="shared" si="98"/>
        <v>0</v>
      </c>
      <c r="K534" s="50">
        <f t="shared" si="99"/>
        <v>0</v>
      </c>
    </row>
    <row r="535" spans="1:11" ht="11.25">
      <c r="A535" s="18"/>
      <c r="B535" s="45" t="s">
        <v>140</v>
      </c>
      <c r="C535" s="18">
        <v>10</v>
      </c>
      <c r="D535" s="49">
        <f t="shared" si="94"/>
        <v>0.019801980198019802</v>
      </c>
      <c r="E535" s="50">
        <f t="shared" si="95"/>
        <v>0.027700831024930747</v>
      </c>
      <c r="F535" s="18">
        <v>1</v>
      </c>
      <c r="G535" s="49">
        <f t="shared" si="96"/>
        <v>0.027777777777777776</v>
      </c>
      <c r="H535" s="50">
        <f t="shared" si="97"/>
        <v>0.047619047619047616</v>
      </c>
      <c r="I535" s="18">
        <v>1</v>
      </c>
      <c r="J535" s="49">
        <f t="shared" si="98"/>
        <v>0.06666666666666667</v>
      </c>
      <c r="K535" s="50">
        <f t="shared" si="99"/>
        <v>0.07692307692307693</v>
      </c>
    </row>
    <row r="536" spans="1:11" ht="11.25">
      <c r="A536" s="18"/>
      <c r="B536" s="45" t="s">
        <v>141</v>
      </c>
      <c r="C536" s="18">
        <v>11</v>
      </c>
      <c r="D536" s="49">
        <f t="shared" si="94"/>
        <v>0.02178217821782178</v>
      </c>
      <c r="E536" s="50">
        <f t="shared" si="95"/>
        <v>0.030470914127423823</v>
      </c>
      <c r="F536" s="18">
        <v>0</v>
      </c>
      <c r="G536" s="49">
        <f t="shared" si="96"/>
        <v>0</v>
      </c>
      <c r="H536" s="50">
        <f t="shared" si="97"/>
        <v>0</v>
      </c>
      <c r="I536" s="18">
        <v>2</v>
      </c>
      <c r="J536" s="49">
        <f t="shared" si="98"/>
        <v>0.13333333333333333</v>
      </c>
      <c r="K536" s="50">
        <f t="shared" si="99"/>
        <v>0.15384615384615385</v>
      </c>
    </row>
    <row r="537" spans="1:11" ht="11.25">
      <c r="A537" s="18"/>
      <c r="B537" s="45" t="s">
        <v>142</v>
      </c>
      <c r="C537" s="18">
        <v>32</v>
      </c>
      <c r="D537" s="49">
        <f t="shared" si="94"/>
        <v>0.06336633663366337</v>
      </c>
      <c r="E537" s="50">
        <f t="shared" si="95"/>
        <v>0.0886426592797784</v>
      </c>
      <c r="F537" s="18">
        <v>1</v>
      </c>
      <c r="G537" s="49">
        <f t="shared" si="96"/>
        <v>0.027777777777777776</v>
      </c>
      <c r="H537" s="50">
        <f t="shared" si="97"/>
        <v>0.047619047619047616</v>
      </c>
      <c r="I537" s="18">
        <v>1</v>
      </c>
      <c r="J537" s="49">
        <f t="shared" si="98"/>
        <v>0.06666666666666667</v>
      </c>
      <c r="K537" s="50">
        <f t="shared" si="99"/>
        <v>0.07692307692307693</v>
      </c>
    </row>
    <row r="538" spans="1:11" ht="11.25">
      <c r="A538" s="18"/>
      <c r="B538" s="45" t="s">
        <v>143</v>
      </c>
      <c r="C538" s="18">
        <v>2</v>
      </c>
      <c r="D538" s="49">
        <f t="shared" si="94"/>
        <v>0.0039603960396039604</v>
      </c>
      <c r="E538" s="50">
        <f t="shared" si="95"/>
        <v>0.00554016620498615</v>
      </c>
      <c r="F538" s="18">
        <v>0</v>
      </c>
      <c r="G538" s="49">
        <f t="shared" si="96"/>
        <v>0</v>
      </c>
      <c r="H538" s="50">
        <f t="shared" si="97"/>
        <v>0</v>
      </c>
      <c r="I538" s="18">
        <v>0</v>
      </c>
      <c r="J538" s="49">
        <f t="shared" si="98"/>
        <v>0</v>
      </c>
      <c r="K538" s="50">
        <f t="shared" si="99"/>
        <v>0</v>
      </c>
    </row>
    <row r="539" spans="1:11" ht="11.25">
      <c r="A539" s="18"/>
      <c r="B539" s="45" t="s">
        <v>144</v>
      </c>
      <c r="C539" s="18">
        <v>27</v>
      </c>
      <c r="D539" s="49">
        <f t="shared" si="94"/>
        <v>0.053465346534653464</v>
      </c>
      <c r="E539" s="50">
        <f t="shared" si="95"/>
        <v>0.07479224376731301</v>
      </c>
      <c r="F539" s="18">
        <v>0</v>
      </c>
      <c r="G539" s="49">
        <f t="shared" si="96"/>
        <v>0</v>
      </c>
      <c r="H539" s="50">
        <f t="shared" si="97"/>
        <v>0</v>
      </c>
      <c r="I539" s="18">
        <v>0</v>
      </c>
      <c r="J539" s="49">
        <f t="shared" si="98"/>
        <v>0</v>
      </c>
      <c r="K539" s="50">
        <f t="shared" si="99"/>
        <v>0</v>
      </c>
    </row>
    <row r="540" spans="1:11" ht="11.25">
      <c r="A540" s="18"/>
      <c r="B540" s="45" t="s">
        <v>145</v>
      </c>
      <c r="C540" s="18">
        <v>4</v>
      </c>
      <c r="D540" s="49">
        <f t="shared" si="94"/>
        <v>0.007920792079207921</v>
      </c>
      <c r="E540" s="50">
        <f t="shared" si="95"/>
        <v>0.0110803324099723</v>
      </c>
      <c r="F540" s="18">
        <v>1</v>
      </c>
      <c r="G540" s="49">
        <f t="shared" si="96"/>
        <v>0.027777777777777776</v>
      </c>
      <c r="H540" s="50">
        <f t="shared" si="97"/>
        <v>0.047619047619047616</v>
      </c>
      <c r="I540" s="18">
        <v>0</v>
      </c>
      <c r="J540" s="49">
        <f t="shared" si="98"/>
        <v>0</v>
      </c>
      <c r="K540" s="50">
        <f t="shared" si="99"/>
        <v>0</v>
      </c>
    </row>
    <row r="541" spans="1:11" ht="11.25">
      <c r="A541" s="18"/>
      <c r="B541" s="45" t="s">
        <v>146</v>
      </c>
      <c r="C541" s="18">
        <v>2</v>
      </c>
      <c r="D541" s="49">
        <f t="shared" si="94"/>
        <v>0.0039603960396039604</v>
      </c>
      <c r="E541" s="50">
        <f t="shared" si="95"/>
        <v>0.00554016620498615</v>
      </c>
      <c r="F541" s="18">
        <v>0</v>
      </c>
      <c r="G541" s="49">
        <f t="shared" si="96"/>
        <v>0</v>
      </c>
      <c r="H541" s="50">
        <f t="shared" si="97"/>
        <v>0</v>
      </c>
      <c r="I541" s="18">
        <v>1</v>
      </c>
      <c r="J541" s="49">
        <f t="shared" si="98"/>
        <v>0.06666666666666667</v>
      </c>
      <c r="K541" s="50">
        <f t="shared" si="99"/>
        <v>0.07692307692307693</v>
      </c>
    </row>
    <row r="542" spans="1:11" ht="11.25">
      <c r="A542" s="18"/>
      <c r="B542" s="45" t="s">
        <v>147</v>
      </c>
      <c r="C542" s="18">
        <v>78</v>
      </c>
      <c r="D542" s="49">
        <f t="shared" si="94"/>
        <v>0.15445544554455445</v>
      </c>
      <c r="E542" s="50">
        <f t="shared" si="95"/>
        <v>0.21606648199445982</v>
      </c>
      <c r="F542" s="18">
        <v>9</v>
      </c>
      <c r="G542" s="49">
        <f t="shared" si="96"/>
        <v>0.25</v>
      </c>
      <c r="H542" s="50">
        <f t="shared" si="97"/>
        <v>0.42857142857142855</v>
      </c>
      <c r="I542" s="18">
        <v>3</v>
      </c>
      <c r="J542" s="49">
        <f t="shared" si="98"/>
        <v>0.2</v>
      </c>
      <c r="K542" s="50">
        <f t="shared" si="99"/>
        <v>0.23076923076923078</v>
      </c>
    </row>
    <row r="543" spans="1:11" ht="11.25">
      <c r="A543" s="18"/>
      <c r="B543" s="45" t="s">
        <v>148</v>
      </c>
      <c r="C543" s="18">
        <v>75</v>
      </c>
      <c r="D543" s="49">
        <f t="shared" si="94"/>
        <v>0.1485148514851485</v>
      </c>
      <c r="E543" s="50">
        <f t="shared" si="95"/>
        <v>0.2077562326869806</v>
      </c>
      <c r="F543" s="18">
        <v>3</v>
      </c>
      <c r="G543" s="49">
        <f t="shared" si="96"/>
        <v>0.08333333333333333</v>
      </c>
      <c r="H543" s="50">
        <f t="shared" si="97"/>
        <v>0.14285714285714285</v>
      </c>
      <c r="I543" s="18">
        <v>2</v>
      </c>
      <c r="J543" s="49">
        <f t="shared" si="98"/>
        <v>0.13333333333333333</v>
      </c>
      <c r="K543" s="50">
        <f t="shared" si="99"/>
        <v>0.15384615384615385</v>
      </c>
    </row>
    <row r="544" spans="1:11" ht="11.25">
      <c r="A544" s="18"/>
      <c r="B544" s="45" t="s">
        <v>149</v>
      </c>
      <c r="C544" s="18">
        <v>11</v>
      </c>
      <c r="D544" s="49">
        <f t="shared" si="94"/>
        <v>0.02178217821782178</v>
      </c>
      <c r="E544" s="50">
        <f t="shared" si="95"/>
        <v>0.030470914127423823</v>
      </c>
      <c r="F544" s="18">
        <v>0</v>
      </c>
      <c r="G544" s="49">
        <f t="shared" si="96"/>
        <v>0</v>
      </c>
      <c r="H544" s="50">
        <f t="shared" si="97"/>
        <v>0</v>
      </c>
      <c r="I544" s="18">
        <v>0</v>
      </c>
      <c r="J544" s="49">
        <f t="shared" si="98"/>
        <v>0</v>
      </c>
      <c r="K544" s="50">
        <f t="shared" si="99"/>
        <v>0</v>
      </c>
    </row>
    <row r="545" spans="1:11" ht="11.25">
      <c r="A545" s="18"/>
      <c r="B545" s="45" t="s">
        <v>150</v>
      </c>
      <c r="C545" s="18">
        <v>12</v>
      </c>
      <c r="D545" s="49">
        <f t="shared" si="94"/>
        <v>0.023762376237623763</v>
      </c>
      <c r="E545" s="50">
        <f t="shared" si="95"/>
        <v>0.0332409972299169</v>
      </c>
      <c r="F545" s="18">
        <v>0</v>
      </c>
      <c r="G545" s="49">
        <f t="shared" si="96"/>
        <v>0</v>
      </c>
      <c r="H545" s="50">
        <f t="shared" si="97"/>
        <v>0</v>
      </c>
      <c r="I545" s="18">
        <v>2</v>
      </c>
      <c r="J545" s="49">
        <f t="shared" si="98"/>
        <v>0.13333333333333333</v>
      </c>
      <c r="K545" s="50">
        <f t="shared" si="99"/>
        <v>0.15384615384615385</v>
      </c>
    </row>
    <row r="546" spans="1:11" ht="11.25">
      <c r="A546" s="18"/>
      <c r="B546" s="45" t="s">
        <v>151</v>
      </c>
      <c r="C546" s="18">
        <v>26</v>
      </c>
      <c r="D546" s="49">
        <f t="shared" si="94"/>
        <v>0.05148514851485148</v>
      </c>
      <c r="E546" s="50">
        <f t="shared" si="95"/>
        <v>0.07202216066481995</v>
      </c>
      <c r="F546" s="18">
        <v>3</v>
      </c>
      <c r="G546" s="49">
        <f t="shared" si="96"/>
        <v>0.08333333333333333</v>
      </c>
      <c r="H546" s="50">
        <f t="shared" si="97"/>
        <v>0.14285714285714285</v>
      </c>
      <c r="I546" s="18">
        <v>1</v>
      </c>
      <c r="J546" s="49">
        <f t="shared" si="98"/>
        <v>0.06666666666666667</v>
      </c>
      <c r="K546" s="50">
        <f t="shared" si="99"/>
        <v>0.07692307692307693</v>
      </c>
    </row>
    <row r="547" spans="1:11" ht="11.25">
      <c r="A547" s="18"/>
      <c r="B547" s="45" t="s">
        <v>152</v>
      </c>
      <c r="C547" s="18">
        <v>5</v>
      </c>
      <c r="D547" s="49">
        <f t="shared" si="94"/>
        <v>0.009900990099009901</v>
      </c>
      <c r="E547" s="50">
        <f t="shared" si="95"/>
        <v>0.013850415512465374</v>
      </c>
      <c r="F547" s="18">
        <v>1</v>
      </c>
      <c r="G547" s="49">
        <f t="shared" si="96"/>
        <v>0.027777777777777776</v>
      </c>
      <c r="H547" s="50">
        <f t="shared" si="97"/>
        <v>0.047619047619047616</v>
      </c>
      <c r="I547" s="18">
        <v>0</v>
      </c>
      <c r="J547" s="49">
        <f t="shared" si="98"/>
        <v>0</v>
      </c>
      <c r="K547" s="50">
        <f t="shared" si="99"/>
        <v>0</v>
      </c>
    </row>
    <row r="548" spans="1:11" ht="11.25">
      <c r="A548" s="23"/>
      <c r="B548" s="55" t="s">
        <v>18</v>
      </c>
      <c r="C548" s="23">
        <v>144</v>
      </c>
      <c r="D548" s="59">
        <f t="shared" si="94"/>
        <v>0.2851485148514851</v>
      </c>
      <c r="E548" s="79" t="s">
        <v>19</v>
      </c>
      <c r="F548" s="23">
        <v>15</v>
      </c>
      <c r="G548" s="59">
        <f t="shared" si="96"/>
        <v>0.4166666666666667</v>
      </c>
      <c r="H548" s="79" t="s">
        <v>19</v>
      </c>
      <c r="I548" s="23">
        <v>2</v>
      </c>
      <c r="J548" s="59">
        <f t="shared" si="98"/>
        <v>0.13333333333333333</v>
      </c>
      <c r="K548" s="79" t="s">
        <v>19</v>
      </c>
    </row>
    <row r="549" spans="1:11" ht="11.25">
      <c r="A549" s="13" t="s">
        <v>206</v>
      </c>
      <c r="B549" s="2"/>
      <c r="C549" s="2"/>
      <c r="D549" s="36"/>
      <c r="E549" s="36"/>
      <c r="F549" s="36"/>
      <c r="G549" s="36"/>
      <c r="H549" s="36"/>
      <c r="I549" s="2"/>
      <c r="J549" s="2"/>
      <c r="K549" s="14"/>
    </row>
    <row r="550" spans="1:11" ht="11.25">
      <c r="A550" s="114" t="s">
        <v>208</v>
      </c>
      <c r="B550" s="113"/>
      <c r="C550" s="11"/>
      <c r="D550" s="59"/>
      <c r="E550" s="59"/>
      <c r="F550" s="11"/>
      <c r="G550" s="59"/>
      <c r="H550" s="59"/>
      <c r="I550" s="11"/>
      <c r="J550" s="59"/>
      <c r="K550" s="81"/>
    </row>
  </sheetData>
  <mergeCells count="2">
    <mergeCell ref="A518:B518"/>
    <mergeCell ref="A550:B550"/>
  </mergeCells>
  <printOptions horizontalCentered="1"/>
  <pageMargins left="0.24" right="0.25" top="0.49" bottom="0.24" header="0.5" footer="0.24"/>
  <pageSetup horizontalDpi="300" verticalDpi="300" orientation="landscape" r:id="rId2"/>
  <headerFooter alignWithMargins="0">
    <oddHeader xml:space="preserve">&amp;C </oddHeader>
  </headerFooter>
  <rowBreaks count="5" manualBreakCount="5">
    <brk id="45" max="10" man="1"/>
    <brk id="94" max="10" man="1"/>
    <brk id="430" max="255" man="1"/>
    <brk id="480" max="255" man="1"/>
    <brk id="518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showGridLines="0" workbookViewId="0" topLeftCell="A108">
      <selection activeCell="K140" sqref="K140"/>
    </sheetView>
  </sheetViews>
  <sheetFormatPr defaultColWidth="9.140625" defaultRowHeight="12.75"/>
  <cols>
    <col min="1" max="1" width="3.421875" style="130" customWidth="1"/>
    <col min="2" max="2" width="36.57421875" style="130" customWidth="1"/>
    <col min="3" max="3" width="7.421875" style="130" customWidth="1"/>
    <col min="4" max="5" width="12.140625" style="130" customWidth="1"/>
    <col min="6" max="6" width="7.421875" style="130" customWidth="1"/>
    <col min="7" max="8" width="12.00390625" style="130" customWidth="1"/>
    <col min="9" max="9" width="7.421875" style="130" customWidth="1"/>
    <col min="10" max="11" width="12.140625" style="130" customWidth="1"/>
    <col min="12" max="16384" width="7.8515625" style="130" customWidth="1"/>
  </cols>
  <sheetData>
    <row r="1" spans="1:11" s="119" customFormat="1" ht="12.75">
      <c r="A1" s="115" t="s">
        <v>0</v>
      </c>
      <c r="B1" s="116"/>
      <c r="C1" s="117"/>
      <c r="D1" s="117"/>
      <c r="E1" s="117"/>
      <c r="F1" s="117"/>
      <c r="G1" s="117"/>
      <c r="H1" s="117"/>
      <c r="I1" s="116"/>
      <c r="J1" s="116"/>
      <c r="K1" s="118" t="s">
        <v>210</v>
      </c>
    </row>
    <row r="2" spans="1:11" s="119" customFormat="1" ht="12.75">
      <c r="A2" s="120" t="s">
        <v>2</v>
      </c>
      <c r="B2" s="121"/>
      <c r="C2" s="122"/>
      <c r="D2" s="122"/>
      <c r="E2" s="122"/>
      <c r="F2" s="122"/>
      <c r="G2" s="122"/>
      <c r="H2" s="122"/>
      <c r="I2" s="121"/>
      <c r="J2" s="121"/>
      <c r="K2" s="123"/>
    </row>
    <row r="3" spans="1:11" s="119" customFormat="1" ht="12.75">
      <c r="A3" s="6" t="s">
        <v>211</v>
      </c>
      <c r="B3" s="121"/>
      <c r="C3" s="122"/>
      <c r="D3" s="122"/>
      <c r="E3" s="122"/>
      <c r="F3" s="122"/>
      <c r="G3" s="122"/>
      <c r="H3" s="122"/>
      <c r="I3" s="121"/>
      <c r="J3" s="121"/>
      <c r="K3" s="123"/>
    </row>
    <row r="4" spans="1:14" ht="12.75">
      <c r="A4" s="124" t="s">
        <v>212</v>
      </c>
      <c r="B4" s="125"/>
      <c r="C4" s="125"/>
      <c r="D4" s="125"/>
      <c r="E4" s="125"/>
      <c r="F4" s="125"/>
      <c r="G4" s="126"/>
      <c r="H4" s="126"/>
      <c r="I4" s="127"/>
      <c r="J4" s="127"/>
      <c r="K4" s="128"/>
      <c r="L4" s="129"/>
      <c r="M4" s="129"/>
      <c r="N4" s="129"/>
    </row>
    <row r="5" spans="1:17" ht="11.25">
      <c r="A5" s="131"/>
      <c r="B5" s="116"/>
      <c r="C5" s="131"/>
      <c r="D5" s="132" t="s">
        <v>5</v>
      </c>
      <c r="E5" s="133" t="s">
        <v>5</v>
      </c>
      <c r="G5" s="134"/>
      <c r="H5" s="134"/>
      <c r="I5" s="135"/>
      <c r="J5" s="135"/>
      <c r="K5" s="136"/>
      <c r="L5" s="134"/>
      <c r="M5" s="134"/>
      <c r="N5" s="134"/>
      <c r="O5" s="134"/>
      <c r="P5" s="134"/>
      <c r="Q5" s="134"/>
    </row>
    <row r="6" spans="1:18" ht="11.25">
      <c r="A6" s="137" t="s">
        <v>6</v>
      </c>
      <c r="B6" s="121"/>
      <c r="C6" s="138"/>
      <c r="D6" s="139" t="s">
        <v>7</v>
      </c>
      <c r="E6" s="136" t="s">
        <v>8</v>
      </c>
      <c r="G6" s="134"/>
      <c r="H6" s="134"/>
      <c r="I6" s="135"/>
      <c r="J6" s="135"/>
      <c r="K6" s="136"/>
      <c r="L6" s="134"/>
      <c r="M6" s="134"/>
      <c r="N6" s="134"/>
      <c r="O6" s="134"/>
      <c r="P6" s="134"/>
      <c r="Q6" s="134"/>
      <c r="R6" s="134"/>
    </row>
    <row r="7" spans="1:17" ht="11.25">
      <c r="A7" s="140"/>
      <c r="B7" s="125"/>
      <c r="C7" s="141" t="s">
        <v>9</v>
      </c>
      <c r="D7" s="142" t="s">
        <v>10</v>
      </c>
      <c r="E7" s="128" t="s">
        <v>10</v>
      </c>
      <c r="G7" s="134"/>
      <c r="H7" s="134"/>
      <c r="I7" s="135"/>
      <c r="J7" s="135"/>
      <c r="K7" s="136"/>
      <c r="L7" s="134"/>
      <c r="M7" s="134"/>
      <c r="N7" s="134"/>
      <c r="O7" s="134"/>
      <c r="P7" s="134"/>
      <c r="Q7" s="134"/>
    </row>
    <row r="8" spans="1:11" ht="11.25">
      <c r="A8" s="143"/>
      <c r="B8" s="144" t="s">
        <v>11</v>
      </c>
      <c r="C8" s="145">
        <v>645</v>
      </c>
      <c r="D8" s="146">
        <v>1</v>
      </c>
      <c r="E8" s="147"/>
      <c r="K8" s="148"/>
    </row>
    <row r="9" spans="1:11" ht="9.75" customHeight="1">
      <c r="A9" s="149" t="str">
        <f>"10.          "</f>
        <v>10.          </v>
      </c>
      <c r="B9" s="150" t="s">
        <v>213</v>
      </c>
      <c r="C9" s="149"/>
      <c r="D9" s="151"/>
      <c r="E9" s="148"/>
      <c r="K9" s="148"/>
    </row>
    <row r="10" spans="1:11" ht="9.75" customHeight="1">
      <c r="A10" s="149"/>
      <c r="B10" s="152" t="s">
        <v>214</v>
      </c>
      <c r="C10" s="149"/>
      <c r="D10" s="151"/>
      <c r="E10" s="148"/>
      <c r="F10" s="138"/>
      <c r="G10" s="121"/>
      <c r="H10" s="121"/>
      <c r="I10" s="121"/>
      <c r="J10" s="121"/>
      <c r="K10" s="148"/>
    </row>
    <row r="11" spans="1:14" ht="11.25">
      <c r="A11" s="138"/>
      <c r="B11" s="153" t="s">
        <v>215</v>
      </c>
      <c r="C11" s="149">
        <v>127</v>
      </c>
      <c r="D11" s="151">
        <f>C11/total</f>
        <v>0.19689922480620156</v>
      </c>
      <c r="E11" s="154">
        <f>C11/(total-q10n)</f>
        <v>0.1984375</v>
      </c>
      <c r="G11" s="129"/>
      <c r="H11" s="129"/>
      <c r="I11" s="135"/>
      <c r="J11" s="135"/>
      <c r="K11" s="155"/>
      <c r="L11" s="129"/>
      <c r="M11" s="129"/>
      <c r="N11" s="129"/>
    </row>
    <row r="12" spans="1:14" ht="11.25">
      <c r="A12" s="138"/>
      <c r="B12" s="153" t="s">
        <v>216</v>
      </c>
      <c r="C12" s="149">
        <v>74</v>
      </c>
      <c r="D12" s="151">
        <f>C12/total</f>
        <v>0.11472868217054263</v>
      </c>
      <c r="E12" s="154">
        <f>C12/(total-q10n)</f>
        <v>0.115625</v>
      </c>
      <c r="G12" s="129"/>
      <c r="H12" s="129"/>
      <c r="I12" s="135"/>
      <c r="J12" s="135"/>
      <c r="K12" s="155"/>
      <c r="L12" s="129"/>
      <c r="M12" s="129"/>
      <c r="N12" s="129"/>
    </row>
    <row r="13" spans="1:14" ht="11.25">
      <c r="A13" s="138"/>
      <c r="B13" s="153" t="s">
        <v>217</v>
      </c>
      <c r="C13" s="149">
        <v>439</v>
      </c>
      <c r="D13" s="151">
        <f>C13/total</f>
        <v>0.6806201550387597</v>
      </c>
      <c r="E13" s="154">
        <f>C13/(total-q10n)</f>
        <v>0.6859375</v>
      </c>
      <c r="G13" s="129"/>
      <c r="H13" s="129"/>
      <c r="I13" s="135"/>
      <c r="J13" s="135"/>
      <c r="K13" s="155"/>
      <c r="L13" s="129"/>
      <c r="M13" s="129"/>
      <c r="N13" s="129"/>
    </row>
    <row r="14" spans="1:11" ht="11.25">
      <c r="A14" s="140"/>
      <c r="B14" s="126" t="s">
        <v>18</v>
      </c>
      <c r="C14" s="156">
        <v>5</v>
      </c>
      <c r="D14" s="157">
        <f>C14/total</f>
        <v>0.007751937984496124</v>
      </c>
      <c r="E14" s="128" t="s">
        <v>19</v>
      </c>
      <c r="F14" s="158"/>
      <c r="K14" s="148"/>
    </row>
    <row r="15" spans="1:11" ht="11.25">
      <c r="A15" s="159" t="s">
        <v>218</v>
      </c>
      <c r="B15" s="130" t="s">
        <v>219</v>
      </c>
      <c r="C15" s="131"/>
      <c r="D15" s="160"/>
      <c r="E15" s="161"/>
      <c r="F15" s="158"/>
      <c r="K15" s="148"/>
    </row>
    <row r="16" spans="1:11" ht="11.25">
      <c r="A16" s="149"/>
      <c r="B16" s="150" t="s">
        <v>220</v>
      </c>
      <c r="C16" s="138"/>
      <c r="D16" s="121"/>
      <c r="E16" s="148"/>
      <c r="F16" s="158"/>
      <c r="K16" s="148"/>
    </row>
    <row r="17" spans="1:11" ht="11.25">
      <c r="A17" s="138"/>
      <c r="B17" s="150" t="s">
        <v>221</v>
      </c>
      <c r="C17" s="149">
        <v>180</v>
      </c>
      <c r="D17" s="151">
        <f>C17/total</f>
        <v>0.27906976744186046</v>
      </c>
      <c r="E17" s="154">
        <f>C17/(total-q11an)</f>
        <v>0.631578947368421</v>
      </c>
      <c r="F17" s="158"/>
      <c r="K17" s="148"/>
    </row>
    <row r="18" spans="1:11" ht="11.25">
      <c r="A18" s="138"/>
      <c r="B18" s="150" t="s">
        <v>217</v>
      </c>
      <c r="C18" s="149">
        <v>105</v>
      </c>
      <c r="D18" s="151">
        <f>C18/total</f>
        <v>0.16279069767441862</v>
      </c>
      <c r="E18" s="154">
        <f>C18/(total-q11an)</f>
        <v>0.3684210526315789</v>
      </c>
      <c r="F18" s="158"/>
      <c r="K18" s="148"/>
    </row>
    <row r="19" spans="1:11" ht="11.25">
      <c r="A19" s="140"/>
      <c r="B19" s="126" t="s">
        <v>18</v>
      </c>
      <c r="C19" s="156">
        <v>360</v>
      </c>
      <c r="D19" s="157">
        <f>C19/total</f>
        <v>0.5581395348837209</v>
      </c>
      <c r="E19" s="128" t="s">
        <v>19</v>
      </c>
      <c r="F19" s="158"/>
      <c r="K19" s="148"/>
    </row>
    <row r="20" spans="1:11" s="121" customFormat="1" ht="3" customHeight="1">
      <c r="A20" s="140"/>
      <c r="B20" s="125"/>
      <c r="C20" s="140"/>
      <c r="D20" s="162"/>
      <c r="E20" s="163"/>
      <c r="K20" s="148"/>
    </row>
    <row r="21" spans="1:11" ht="45">
      <c r="A21" s="140"/>
      <c r="B21" s="164" t="s">
        <v>222</v>
      </c>
      <c r="C21" s="140">
        <f>C17</f>
        <v>180</v>
      </c>
      <c r="D21" s="146">
        <v>1</v>
      </c>
      <c r="E21" s="165"/>
      <c r="F21" s="158"/>
      <c r="K21" s="148"/>
    </row>
    <row r="22" spans="1:11" ht="11.25">
      <c r="A22" s="149" t="str">
        <f>"11b."</f>
        <v>11b.</v>
      </c>
      <c r="B22" s="166" t="s">
        <v>223</v>
      </c>
      <c r="C22" s="138"/>
      <c r="D22" s="121"/>
      <c r="E22" s="148"/>
      <c r="K22" s="148"/>
    </row>
    <row r="23" spans="1:11" ht="11.25">
      <c r="A23" s="138"/>
      <c r="B23" s="121" t="s">
        <v>224</v>
      </c>
      <c r="C23" s="138">
        <v>2</v>
      </c>
      <c r="D23" s="151">
        <f aca="true" t="shared" si="0" ref="D23:D33">C23/total10</f>
        <v>0.011111111111111112</v>
      </c>
      <c r="E23" s="154">
        <f aca="true" t="shared" si="1" ref="E23:E32">C23/(total10-q11n)</f>
        <v>0.0111731843575419</v>
      </c>
      <c r="K23" s="148"/>
    </row>
    <row r="24" spans="1:11" ht="11.25">
      <c r="A24" s="138"/>
      <c r="B24" s="153" t="s">
        <v>225</v>
      </c>
      <c r="C24" s="149">
        <v>5</v>
      </c>
      <c r="D24" s="151">
        <f t="shared" si="0"/>
        <v>0.027777777777777776</v>
      </c>
      <c r="E24" s="154">
        <f t="shared" si="1"/>
        <v>0.027932960893854747</v>
      </c>
      <c r="K24" s="148"/>
    </row>
    <row r="25" spans="1:11" ht="11.25">
      <c r="A25" s="138"/>
      <c r="B25" s="121" t="s">
        <v>226</v>
      </c>
      <c r="C25" s="138">
        <v>84</v>
      </c>
      <c r="D25" s="151">
        <f t="shared" si="0"/>
        <v>0.4666666666666667</v>
      </c>
      <c r="E25" s="154">
        <f t="shared" si="1"/>
        <v>0.4692737430167598</v>
      </c>
      <c r="K25" s="148"/>
    </row>
    <row r="26" spans="1:11" ht="11.25">
      <c r="A26" s="138"/>
      <c r="B26" s="121" t="s">
        <v>227</v>
      </c>
      <c r="C26" s="138">
        <v>59</v>
      </c>
      <c r="D26" s="151">
        <f t="shared" si="0"/>
        <v>0.3277777777777778</v>
      </c>
      <c r="E26" s="154">
        <f t="shared" si="1"/>
        <v>0.329608938547486</v>
      </c>
      <c r="K26" s="148"/>
    </row>
    <row r="27" spans="1:11" ht="11.25">
      <c r="A27" s="138"/>
      <c r="B27" s="121" t="s">
        <v>228</v>
      </c>
      <c r="C27" s="138">
        <v>1</v>
      </c>
      <c r="D27" s="151">
        <f t="shared" si="0"/>
        <v>0.005555555555555556</v>
      </c>
      <c r="E27" s="154">
        <f t="shared" si="1"/>
        <v>0.00558659217877095</v>
      </c>
      <c r="K27" s="148"/>
    </row>
    <row r="28" spans="1:11" ht="11.25">
      <c r="A28" s="138"/>
      <c r="B28" s="121" t="s">
        <v>229</v>
      </c>
      <c r="C28" s="138">
        <v>5</v>
      </c>
      <c r="D28" s="151">
        <f t="shared" si="0"/>
        <v>0.027777777777777776</v>
      </c>
      <c r="E28" s="154">
        <f t="shared" si="1"/>
        <v>0.027932960893854747</v>
      </c>
      <c r="K28" s="148"/>
    </row>
    <row r="29" spans="1:11" ht="11.25">
      <c r="A29" s="138"/>
      <c r="B29" s="121" t="s">
        <v>230</v>
      </c>
      <c r="C29" s="138">
        <v>0</v>
      </c>
      <c r="D29" s="151">
        <f t="shared" si="0"/>
        <v>0</v>
      </c>
      <c r="E29" s="154">
        <f t="shared" si="1"/>
        <v>0</v>
      </c>
      <c r="K29" s="148"/>
    </row>
    <row r="30" spans="1:11" ht="11.25">
      <c r="A30" s="138"/>
      <c r="B30" s="121" t="s">
        <v>231</v>
      </c>
      <c r="C30" s="138">
        <v>6</v>
      </c>
      <c r="D30" s="151">
        <f t="shared" si="0"/>
        <v>0.03333333333333333</v>
      </c>
      <c r="E30" s="154">
        <f t="shared" si="1"/>
        <v>0.0335195530726257</v>
      </c>
      <c r="K30" s="148"/>
    </row>
    <row r="31" spans="1:11" ht="11.25">
      <c r="A31" s="138"/>
      <c r="B31" s="121" t="s">
        <v>232</v>
      </c>
      <c r="C31" s="138">
        <v>6</v>
      </c>
      <c r="D31" s="151">
        <f t="shared" si="0"/>
        <v>0.03333333333333333</v>
      </c>
      <c r="E31" s="154">
        <f t="shared" si="1"/>
        <v>0.0335195530726257</v>
      </c>
      <c r="K31" s="148"/>
    </row>
    <row r="32" spans="1:11" ht="11.25">
      <c r="A32" s="138"/>
      <c r="B32" s="121" t="s">
        <v>24</v>
      </c>
      <c r="C32" s="138">
        <v>11</v>
      </c>
      <c r="D32" s="151">
        <f t="shared" si="0"/>
        <v>0.06111111111111111</v>
      </c>
      <c r="E32" s="154">
        <f t="shared" si="1"/>
        <v>0.061452513966480445</v>
      </c>
      <c r="K32" s="148"/>
    </row>
    <row r="33" spans="1:11" ht="11.25">
      <c r="A33" s="140"/>
      <c r="B33" s="125" t="s">
        <v>18</v>
      </c>
      <c r="C33" s="140">
        <v>1</v>
      </c>
      <c r="D33" s="157">
        <f t="shared" si="0"/>
        <v>0.005555555555555556</v>
      </c>
      <c r="E33" s="128" t="s">
        <v>19</v>
      </c>
      <c r="K33" s="148"/>
    </row>
    <row r="34" spans="1:11" ht="11.25">
      <c r="A34" s="149" t="str">
        <f>"12."</f>
        <v>12.</v>
      </c>
      <c r="B34" s="167" t="s">
        <v>233</v>
      </c>
      <c r="C34" s="138"/>
      <c r="D34" s="168"/>
      <c r="E34" s="169"/>
      <c r="K34" s="148"/>
    </row>
    <row r="35" spans="1:11" ht="9.75" customHeight="1">
      <c r="A35" s="138"/>
      <c r="B35" s="130" t="s">
        <v>234</v>
      </c>
      <c r="C35" s="138"/>
      <c r="D35" s="151"/>
      <c r="E35" s="154"/>
      <c r="K35" s="148"/>
    </row>
    <row r="36" spans="1:11" ht="11.25">
      <c r="A36" s="138"/>
      <c r="B36" s="121" t="s">
        <v>82</v>
      </c>
      <c r="C36" s="138">
        <v>51</v>
      </c>
      <c r="D36" s="151">
        <f aca="true" t="shared" si="2" ref="D36:D42">C36/total10</f>
        <v>0.2833333333333333</v>
      </c>
      <c r="E36" s="154">
        <f aca="true" t="shared" si="3" ref="E36:E41">C36/(total10-q12n)</f>
        <v>0.2849162011173184</v>
      </c>
      <c r="K36" s="148"/>
    </row>
    <row r="37" spans="1:11" ht="11.25">
      <c r="A37" s="138"/>
      <c r="B37" s="121" t="s">
        <v>83</v>
      </c>
      <c r="C37" s="138">
        <v>71</v>
      </c>
      <c r="D37" s="151">
        <f t="shared" si="2"/>
        <v>0.39444444444444443</v>
      </c>
      <c r="E37" s="154">
        <f t="shared" si="3"/>
        <v>0.39664804469273746</v>
      </c>
      <c r="K37" s="148"/>
    </row>
    <row r="38" spans="1:11" ht="11.25">
      <c r="A38" s="138"/>
      <c r="B38" s="121" t="s">
        <v>84</v>
      </c>
      <c r="C38" s="138">
        <v>45</v>
      </c>
      <c r="D38" s="151">
        <f t="shared" si="2"/>
        <v>0.25</v>
      </c>
      <c r="E38" s="154">
        <f t="shared" si="3"/>
        <v>0.25139664804469275</v>
      </c>
      <c r="K38" s="148"/>
    </row>
    <row r="39" spans="1:11" ht="11.25">
      <c r="A39" s="138"/>
      <c r="B39" s="121" t="s">
        <v>85</v>
      </c>
      <c r="C39" s="138">
        <v>7</v>
      </c>
      <c r="D39" s="151">
        <f t="shared" si="2"/>
        <v>0.03888888888888889</v>
      </c>
      <c r="E39" s="154">
        <f t="shared" si="3"/>
        <v>0.03910614525139665</v>
      </c>
      <c r="K39" s="148"/>
    </row>
    <row r="40" spans="1:11" ht="11.25">
      <c r="A40" s="138"/>
      <c r="B40" s="121" t="s">
        <v>86</v>
      </c>
      <c r="C40" s="138">
        <v>2</v>
      </c>
      <c r="D40" s="151">
        <f t="shared" si="2"/>
        <v>0.011111111111111112</v>
      </c>
      <c r="E40" s="154">
        <f t="shared" si="3"/>
        <v>0.0111731843575419</v>
      </c>
      <c r="K40" s="148"/>
    </row>
    <row r="41" spans="1:11" ht="11.25">
      <c r="A41" s="138"/>
      <c r="B41" s="121" t="s">
        <v>87</v>
      </c>
      <c r="C41" s="138">
        <v>3</v>
      </c>
      <c r="D41" s="151">
        <f t="shared" si="2"/>
        <v>0.016666666666666666</v>
      </c>
      <c r="E41" s="154">
        <f t="shared" si="3"/>
        <v>0.01675977653631285</v>
      </c>
      <c r="K41" s="148"/>
    </row>
    <row r="42" spans="1:11" ht="11.25">
      <c r="A42" s="140"/>
      <c r="B42" s="125" t="s">
        <v>18</v>
      </c>
      <c r="C42" s="140">
        <v>1</v>
      </c>
      <c r="D42" s="157">
        <f t="shared" si="2"/>
        <v>0.005555555555555556</v>
      </c>
      <c r="E42" s="128" t="s">
        <v>19</v>
      </c>
      <c r="F42" s="162"/>
      <c r="G42" s="125"/>
      <c r="H42" s="125"/>
      <c r="I42" s="125"/>
      <c r="J42" s="125"/>
      <c r="K42" s="165"/>
    </row>
    <row r="43" spans="1:11" ht="12.75">
      <c r="A43" s="115" t="s">
        <v>0</v>
      </c>
      <c r="B43" s="116"/>
      <c r="C43" s="117"/>
      <c r="D43" s="170"/>
      <c r="E43" s="170"/>
      <c r="F43" s="117"/>
      <c r="G43" s="170"/>
      <c r="H43" s="170"/>
      <c r="I43" s="116"/>
      <c r="J43" s="116"/>
      <c r="K43" s="118" t="s">
        <v>235</v>
      </c>
    </row>
    <row r="44" spans="1:11" ht="12.75">
      <c r="A44" s="120" t="s">
        <v>2</v>
      </c>
      <c r="B44" s="121"/>
      <c r="C44" s="122"/>
      <c r="D44" s="122"/>
      <c r="E44" s="122"/>
      <c r="F44" s="122"/>
      <c r="G44" s="122"/>
      <c r="H44" s="122"/>
      <c r="I44" s="121"/>
      <c r="J44" s="121"/>
      <c r="K44" s="123"/>
    </row>
    <row r="45" spans="1:11" ht="12.75">
      <c r="A45" s="6" t="s">
        <v>211</v>
      </c>
      <c r="B45" s="121"/>
      <c r="C45" s="122"/>
      <c r="D45" s="122"/>
      <c r="E45" s="122"/>
      <c r="F45" s="122"/>
      <c r="G45" s="122"/>
      <c r="H45" s="122"/>
      <c r="I45" s="121"/>
      <c r="J45" s="121"/>
      <c r="K45" s="123"/>
    </row>
    <row r="46" spans="1:11" ht="12.75">
      <c r="A46" s="124" t="s">
        <v>212</v>
      </c>
      <c r="B46" s="125"/>
      <c r="C46" s="125"/>
      <c r="D46" s="125"/>
      <c r="E46" s="125"/>
      <c r="F46" s="125"/>
      <c r="G46" s="126"/>
      <c r="H46" s="126"/>
      <c r="I46" s="127"/>
      <c r="J46" s="127"/>
      <c r="K46" s="128"/>
    </row>
    <row r="47" spans="1:11" ht="12.75" customHeight="1">
      <c r="A47" s="171"/>
      <c r="B47" s="116"/>
      <c r="C47" s="172" t="s">
        <v>153</v>
      </c>
      <c r="D47" s="173"/>
      <c r="E47" s="174"/>
      <c r="F47" s="175" t="s">
        <v>154</v>
      </c>
      <c r="G47" s="175"/>
      <c r="H47" s="176"/>
      <c r="I47" s="171"/>
      <c r="J47" s="116"/>
      <c r="K47" s="161"/>
    </row>
    <row r="48" spans="1:11" ht="11.25">
      <c r="A48" s="138"/>
      <c r="B48" s="121"/>
      <c r="C48" s="177"/>
      <c r="D48" s="178" t="s">
        <v>5</v>
      </c>
      <c r="E48" s="118" t="s">
        <v>5</v>
      </c>
      <c r="F48" s="179"/>
      <c r="G48" s="178" t="s">
        <v>5</v>
      </c>
      <c r="H48" s="118" t="s">
        <v>5</v>
      </c>
      <c r="I48" s="138"/>
      <c r="J48" s="121"/>
      <c r="K48" s="148"/>
    </row>
    <row r="49" spans="1:11" ht="11.25">
      <c r="A49" s="138"/>
      <c r="B49" s="180" t="s">
        <v>155</v>
      </c>
      <c r="C49" s="181"/>
      <c r="D49" s="182" t="s">
        <v>7</v>
      </c>
      <c r="E49" s="183" t="s">
        <v>8</v>
      </c>
      <c r="F49" s="184"/>
      <c r="G49" s="182" t="s">
        <v>7</v>
      </c>
      <c r="H49" s="183" t="s">
        <v>8</v>
      </c>
      <c r="I49" s="138"/>
      <c r="J49" s="121"/>
      <c r="K49" s="148"/>
    </row>
    <row r="50" spans="1:11" ht="11.25">
      <c r="A50" s="140"/>
      <c r="B50" s="125"/>
      <c r="C50" s="185" t="s">
        <v>9</v>
      </c>
      <c r="D50" s="186" t="s">
        <v>10</v>
      </c>
      <c r="E50" s="187" t="s">
        <v>10</v>
      </c>
      <c r="F50" s="186" t="s">
        <v>9</v>
      </c>
      <c r="G50" s="186" t="s">
        <v>10</v>
      </c>
      <c r="H50" s="187" t="s">
        <v>10</v>
      </c>
      <c r="I50" s="138"/>
      <c r="J50" s="121"/>
      <c r="K50" s="148"/>
    </row>
    <row r="51" spans="1:11" ht="13.5" customHeight="1">
      <c r="A51" s="140" t="s">
        <v>11</v>
      </c>
      <c r="B51" s="165"/>
      <c r="C51" s="156">
        <v>211</v>
      </c>
      <c r="D51" s="157">
        <v>1</v>
      </c>
      <c r="E51" s="188"/>
      <c r="F51" s="126">
        <v>434</v>
      </c>
      <c r="G51" s="157">
        <v>1</v>
      </c>
      <c r="H51" s="165"/>
      <c r="I51" s="138"/>
      <c r="J51" s="121"/>
      <c r="K51" s="148"/>
    </row>
    <row r="52" spans="1:11" ht="11.25">
      <c r="A52" s="149" t="str">
        <f>"10."</f>
        <v>10.</v>
      </c>
      <c r="B52" s="153" t="s">
        <v>236</v>
      </c>
      <c r="C52" s="138"/>
      <c r="D52" s="151"/>
      <c r="E52" s="148"/>
      <c r="F52" s="121"/>
      <c r="G52" s="121"/>
      <c r="H52" s="148"/>
      <c r="I52" s="138"/>
      <c r="J52" s="121"/>
      <c r="K52" s="148"/>
    </row>
    <row r="53" spans="1:11" ht="11.25">
      <c r="A53" s="138"/>
      <c r="B53" s="153" t="s">
        <v>237</v>
      </c>
      <c r="C53" s="138"/>
      <c r="D53" s="151"/>
      <c r="E53" s="154"/>
      <c r="F53" s="121"/>
      <c r="G53" s="151"/>
      <c r="H53" s="154"/>
      <c r="I53" s="138"/>
      <c r="J53" s="121"/>
      <c r="K53" s="148"/>
    </row>
    <row r="54" spans="1:11" ht="11.25">
      <c r="A54" s="138"/>
      <c r="B54" s="153" t="s">
        <v>215</v>
      </c>
      <c r="C54" s="149">
        <v>42</v>
      </c>
      <c r="D54" s="151">
        <f>C54/totalm</f>
        <v>0.1990521327014218</v>
      </c>
      <c r="E54" s="154">
        <f>C54/(totalm-q10nm)</f>
        <v>0.20192307692307693</v>
      </c>
      <c r="F54" s="153">
        <v>85</v>
      </c>
      <c r="G54" s="151">
        <f>F54/totalf</f>
        <v>0.195852534562212</v>
      </c>
      <c r="H54" s="154">
        <f>F54/(totalf-q10nf)</f>
        <v>0.19675925925925927</v>
      </c>
      <c r="I54" s="138"/>
      <c r="J54" s="121"/>
      <c r="K54" s="148"/>
    </row>
    <row r="55" spans="1:11" ht="11.25">
      <c r="A55" s="138"/>
      <c r="B55" s="153" t="s">
        <v>216</v>
      </c>
      <c r="C55" s="149">
        <v>24</v>
      </c>
      <c r="D55" s="151">
        <f>C55/totalm</f>
        <v>0.11374407582938388</v>
      </c>
      <c r="E55" s="154">
        <f>C55/(totalm-q10nm)</f>
        <v>0.11538461538461539</v>
      </c>
      <c r="F55" s="153">
        <v>50</v>
      </c>
      <c r="G55" s="151">
        <f>F55/totalf</f>
        <v>0.1152073732718894</v>
      </c>
      <c r="H55" s="154">
        <f>F55/(totalf-q10nf)</f>
        <v>0.11574074074074074</v>
      </c>
      <c r="I55" s="138"/>
      <c r="J55" s="121"/>
      <c r="K55" s="148"/>
    </row>
    <row r="56" spans="1:11" ht="11.25">
      <c r="A56" s="138"/>
      <c r="B56" s="153" t="s">
        <v>217</v>
      </c>
      <c r="C56" s="149">
        <v>142</v>
      </c>
      <c r="D56" s="151">
        <f>C56/totalm</f>
        <v>0.6729857819905213</v>
      </c>
      <c r="E56" s="154">
        <f>C56/(totalm-q10nm)</f>
        <v>0.6826923076923077</v>
      </c>
      <c r="F56" s="153">
        <v>297</v>
      </c>
      <c r="G56" s="151">
        <f>F56/totalf</f>
        <v>0.684331797235023</v>
      </c>
      <c r="H56" s="154">
        <f>F56/(totalf-q10nf)</f>
        <v>0.6875</v>
      </c>
      <c r="I56" s="138"/>
      <c r="J56" s="121"/>
      <c r="K56" s="148"/>
    </row>
    <row r="57" spans="1:11" ht="11.25">
      <c r="A57" s="140"/>
      <c r="B57" s="126" t="s">
        <v>18</v>
      </c>
      <c r="C57" s="156">
        <v>3</v>
      </c>
      <c r="D57" s="157">
        <f>C57/totalm</f>
        <v>0.014218009478672985</v>
      </c>
      <c r="E57" s="128" t="s">
        <v>19</v>
      </c>
      <c r="F57" s="126">
        <v>2</v>
      </c>
      <c r="G57" s="157">
        <f>F57/totalf</f>
        <v>0.004608294930875576</v>
      </c>
      <c r="H57" s="128" t="s">
        <v>19</v>
      </c>
      <c r="I57" s="138"/>
      <c r="J57" s="121"/>
      <c r="K57" s="148"/>
    </row>
    <row r="58" spans="1:11" ht="11.25">
      <c r="A58" s="159" t="s">
        <v>218</v>
      </c>
      <c r="B58" s="130" t="s">
        <v>219</v>
      </c>
      <c r="C58" s="131"/>
      <c r="D58" s="160"/>
      <c r="E58" s="189"/>
      <c r="F58" s="171"/>
      <c r="G58" s="190"/>
      <c r="H58" s="189"/>
      <c r="I58" s="138"/>
      <c r="J58" s="121"/>
      <c r="K58" s="148"/>
    </row>
    <row r="59" spans="1:11" ht="11.25">
      <c r="A59" s="159"/>
      <c r="B59" s="150" t="s">
        <v>220</v>
      </c>
      <c r="C59" s="149"/>
      <c r="D59" s="151"/>
      <c r="E59" s="169"/>
      <c r="F59" s="138"/>
      <c r="G59" s="168"/>
      <c r="H59" s="169"/>
      <c r="I59" s="138"/>
      <c r="J59" s="121"/>
      <c r="K59" s="148"/>
    </row>
    <row r="60" spans="1:11" ht="11.25">
      <c r="A60" s="149"/>
      <c r="B60" s="152" t="s">
        <v>221</v>
      </c>
      <c r="C60" s="149">
        <v>60</v>
      </c>
      <c r="D60" s="151">
        <f>C60/totalm</f>
        <v>0.2843601895734597</v>
      </c>
      <c r="E60" s="154">
        <f>C60/(totalm-q11anm)</f>
        <v>0.6185567010309279</v>
      </c>
      <c r="F60" s="149">
        <v>120</v>
      </c>
      <c r="G60" s="151">
        <f>F60/totalf</f>
        <v>0.2764976958525346</v>
      </c>
      <c r="H60" s="154">
        <f>F60/(totalf-q11anf)</f>
        <v>0.6382978723404256</v>
      </c>
      <c r="I60" s="138"/>
      <c r="J60" s="121"/>
      <c r="K60" s="148"/>
    </row>
    <row r="61" spans="1:11" ht="11.25">
      <c r="A61" s="138"/>
      <c r="B61" s="153" t="s">
        <v>217</v>
      </c>
      <c r="C61" s="149">
        <v>37</v>
      </c>
      <c r="D61" s="151">
        <f>C61/totalm</f>
        <v>0.17535545023696683</v>
      </c>
      <c r="E61" s="154">
        <f>C61/(totalm-q11anm)</f>
        <v>0.38144329896907214</v>
      </c>
      <c r="F61" s="149">
        <v>68</v>
      </c>
      <c r="G61" s="151">
        <f>F61/totalf</f>
        <v>0.15668202764976957</v>
      </c>
      <c r="H61" s="154">
        <f>F61/(totalf-q11anf)</f>
        <v>0.3617021276595745</v>
      </c>
      <c r="I61" s="138"/>
      <c r="J61" s="121"/>
      <c r="K61" s="148"/>
    </row>
    <row r="62" spans="1:11" ht="11.25">
      <c r="A62" s="140"/>
      <c r="B62" s="126" t="s">
        <v>18</v>
      </c>
      <c r="C62" s="156">
        <v>114</v>
      </c>
      <c r="D62" s="157">
        <f>C62/totalm</f>
        <v>0.5402843601895735</v>
      </c>
      <c r="E62" s="128" t="s">
        <v>19</v>
      </c>
      <c r="F62" s="156">
        <v>246</v>
      </c>
      <c r="G62" s="157">
        <f>F62/totalf</f>
        <v>0.5668202764976958</v>
      </c>
      <c r="H62" s="128" t="s">
        <v>19</v>
      </c>
      <c r="I62" s="138"/>
      <c r="J62" s="121"/>
      <c r="K62" s="148"/>
    </row>
    <row r="63" spans="1:11" ht="3" customHeight="1">
      <c r="A63" s="140"/>
      <c r="B63" s="125"/>
      <c r="C63" s="125"/>
      <c r="D63" s="162"/>
      <c r="E63" s="162"/>
      <c r="F63" s="125"/>
      <c r="G63" s="162"/>
      <c r="H63" s="162"/>
      <c r="I63" s="138"/>
      <c r="J63" s="121"/>
      <c r="K63" s="148"/>
    </row>
    <row r="64" spans="1:11" ht="45">
      <c r="A64" s="143"/>
      <c r="B64" s="191" t="s">
        <v>222</v>
      </c>
      <c r="C64" s="144">
        <f>C60</f>
        <v>60</v>
      </c>
      <c r="D64" s="146">
        <v>1</v>
      </c>
      <c r="E64" s="192"/>
      <c r="F64" s="145">
        <f>F60</f>
        <v>120</v>
      </c>
      <c r="G64" s="146">
        <v>1</v>
      </c>
      <c r="H64" s="193"/>
      <c r="I64" s="138"/>
      <c r="J64" s="121"/>
      <c r="K64" s="148"/>
    </row>
    <row r="65" spans="1:11" ht="11.25">
      <c r="A65" s="149" t="str">
        <f>"11b."</f>
        <v>11b.</v>
      </c>
      <c r="B65" s="194" t="s">
        <v>223</v>
      </c>
      <c r="D65" s="195"/>
      <c r="F65" s="138"/>
      <c r="I65" s="138"/>
      <c r="J65" s="121"/>
      <c r="K65" s="148"/>
    </row>
    <row r="66" spans="1:11" ht="11.25">
      <c r="A66" s="138"/>
      <c r="B66" s="148" t="s">
        <v>224</v>
      </c>
      <c r="C66" s="130">
        <v>0</v>
      </c>
      <c r="D66" s="195">
        <f aca="true" t="shared" si="4" ref="D66:D76">C66/total10m</f>
        <v>0</v>
      </c>
      <c r="E66" s="195">
        <f aca="true" t="shared" si="5" ref="E66:E75">C66/(total10m-q11nm)</f>
        <v>0</v>
      </c>
      <c r="F66" s="138">
        <v>2</v>
      </c>
      <c r="G66" s="195">
        <f aca="true" t="shared" si="6" ref="G66:G76">F66/total10f</f>
        <v>0.016666666666666666</v>
      </c>
      <c r="H66" s="195">
        <f aca="true" t="shared" si="7" ref="H66:H75">F66/(total10f-q11nf)</f>
        <v>0.01680672268907563</v>
      </c>
      <c r="I66" s="138"/>
      <c r="J66" s="121"/>
      <c r="K66" s="148"/>
    </row>
    <row r="67" spans="1:11" ht="11.25">
      <c r="A67" s="138"/>
      <c r="B67" s="155" t="s">
        <v>225</v>
      </c>
      <c r="C67" s="130">
        <v>3</v>
      </c>
      <c r="D67" s="195">
        <f t="shared" si="4"/>
        <v>0.05</v>
      </c>
      <c r="E67" s="195">
        <f t="shared" si="5"/>
        <v>0.05</v>
      </c>
      <c r="F67" s="138">
        <v>2</v>
      </c>
      <c r="G67" s="195">
        <f t="shared" si="6"/>
        <v>0.016666666666666666</v>
      </c>
      <c r="H67" s="195">
        <f t="shared" si="7"/>
        <v>0.01680672268907563</v>
      </c>
      <c r="I67" s="138"/>
      <c r="J67" s="121"/>
      <c r="K67" s="148"/>
    </row>
    <row r="68" spans="1:11" ht="11.25">
      <c r="A68" s="138"/>
      <c r="B68" s="148" t="s">
        <v>226</v>
      </c>
      <c r="C68" s="130">
        <v>26</v>
      </c>
      <c r="D68" s="195">
        <f t="shared" si="4"/>
        <v>0.43333333333333335</v>
      </c>
      <c r="E68" s="195">
        <f t="shared" si="5"/>
        <v>0.43333333333333335</v>
      </c>
      <c r="F68" s="138">
        <v>58</v>
      </c>
      <c r="G68" s="195">
        <f t="shared" si="6"/>
        <v>0.48333333333333334</v>
      </c>
      <c r="H68" s="195">
        <f t="shared" si="7"/>
        <v>0.48739495798319327</v>
      </c>
      <c r="I68" s="138"/>
      <c r="J68" s="121"/>
      <c r="K68" s="148"/>
    </row>
    <row r="69" spans="1:11" ht="11.25">
      <c r="A69" s="138"/>
      <c r="B69" s="148" t="s">
        <v>238</v>
      </c>
      <c r="C69" s="130">
        <v>28</v>
      </c>
      <c r="D69" s="195">
        <f t="shared" si="4"/>
        <v>0.4666666666666667</v>
      </c>
      <c r="E69" s="195">
        <f t="shared" si="5"/>
        <v>0.4666666666666667</v>
      </c>
      <c r="F69" s="149">
        <v>31</v>
      </c>
      <c r="G69" s="195">
        <f t="shared" si="6"/>
        <v>0.25833333333333336</v>
      </c>
      <c r="H69" s="195">
        <f t="shared" si="7"/>
        <v>0.2605042016806723</v>
      </c>
      <c r="I69" s="138"/>
      <c r="J69" s="121"/>
      <c r="K69" s="148"/>
    </row>
    <row r="70" spans="1:11" ht="11.25">
      <c r="A70" s="138"/>
      <c r="B70" s="148" t="s">
        <v>228</v>
      </c>
      <c r="C70" s="130">
        <v>0</v>
      </c>
      <c r="D70" s="195">
        <f t="shared" si="4"/>
        <v>0</v>
      </c>
      <c r="E70" s="195">
        <f t="shared" si="5"/>
        <v>0</v>
      </c>
      <c r="F70" s="149">
        <v>1</v>
      </c>
      <c r="G70" s="195">
        <f t="shared" si="6"/>
        <v>0.008333333333333333</v>
      </c>
      <c r="H70" s="195">
        <f t="shared" si="7"/>
        <v>0.008403361344537815</v>
      </c>
      <c r="I70" s="138"/>
      <c r="J70" s="121"/>
      <c r="K70" s="148"/>
    </row>
    <row r="71" spans="1:11" ht="11.25">
      <c r="A71" s="138"/>
      <c r="B71" s="148" t="s">
        <v>229</v>
      </c>
      <c r="C71" s="130">
        <v>1</v>
      </c>
      <c r="D71" s="195">
        <f t="shared" si="4"/>
        <v>0.016666666666666666</v>
      </c>
      <c r="E71" s="195">
        <f t="shared" si="5"/>
        <v>0.016666666666666666</v>
      </c>
      <c r="F71" s="149">
        <v>4</v>
      </c>
      <c r="G71" s="195">
        <f t="shared" si="6"/>
        <v>0.03333333333333333</v>
      </c>
      <c r="H71" s="195">
        <f t="shared" si="7"/>
        <v>0.03361344537815126</v>
      </c>
      <c r="I71" s="138"/>
      <c r="J71" s="121"/>
      <c r="K71" s="148"/>
    </row>
    <row r="72" spans="1:11" ht="11.25">
      <c r="A72" s="138"/>
      <c r="B72" s="148" t="s">
        <v>230</v>
      </c>
      <c r="C72" s="130">
        <v>0</v>
      </c>
      <c r="D72" s="195">
        <f t="shared" si="4"/>
        <v>0</v>
      </c>
      <c r="E72" s="195">
        <f t="shared" si="5"/>
        <v>0</v>
      </c>
      <c r="F72" s="149">
        <v>0</v>
      </c>
      <c r="G72" s="195">
        <f t="shared" si="6"/>
        <v>0</v>
      </c>
      <c r="H72" s="195">
        <f t="shared" si="7"/>
        <v>0</v>
      </c>
      <c r="I72" s="138"/>
      <c r="J72" s="121"/>
      <c r="K72" s="148"/>
    </row>
    <row r="73" spans="1:11" ht="11.25">
      <c r="A73" s="138"/>
      <c r="B73" s="148" t="s">
        <v>231</v>
      </c>
      <c r="C73" s="130">
        <v>1</v>
      </c>
      <c r="D73" s="195">
        <f t="shared" si="4"/>
        <v>0.016666666666666666</v>
      </c>
      <c r="E73" s="195">
        <f t="shared" si="5"/>
        <v>0.016666666666666666</v>
      </c>
      <c r="F73" s="138">
        <v>5</v>
      </c>
      <c r="G73" s="195">
        <f t="shared" si="6"/>
        <v>0.041666666666666664</v>
      </c>
      <c r="H73" s="195">
        <f t="shared" si="7"/>
        <v>0.04201680672268908</v>
      </c>
      <c r="I73" s="138"/>
      <c r="J73" s="121"/>
      <c r="K73" s="148"/>
    </row>
    <row r="74" spans="1:11" ht="11.25">
      <c r="A74" s="138"/>
      <c r="B74" s="148" t="s">
        <v>232</v>
      </c>
      <c r="C74" s="130">
        <v>1</v>
      </c>
      <c r="D74" s="195">
        <f t="shared" si="4"/>
        <v>0.016666666666666666</v>
      </c>
      <c r="E74" s="195">
        <f t="shared" si="5"/>
        <v>0.016666666666666666</v>
      </c>
      <c r="F74" s="138">
        <v>5</v>
      </c>
      <c r="G74" s="195">
        <f t="shared" si="6"/>
        <v>0.041666666666666664</v>
      </c>
      <c r="H74" s="195">
        <f t="shared" si="7"/>
        <v>0.04201680672268908</v>
      </c>
      <c r="I74" s="138"/>
      <c r="J74" s="121"/>
      <c r="K74" s="148"/>
    </row>
    <row r="75" spans="1:11" ht="11.25">
      <c r="A75" s="138"/>
      <c r="B75" s="148" t="s">
        <v>24</v>
      </c>
      <c r="C75" s="130">
        <v>0</v>
      </c>
      <c r="D75" s="195">
        <f t="shared" si="4"/>
        <v>0</v>
      </c>
      <c r="E75" s="195">
        <f t="shared" si="5"/>
        <v>0</v>
      </c>
      <c r="F75" s="149">
        <v>11</v>
      </c>
      <c r="G75" s="195">
        <f t="shared" si="6"/>
        <v>0.09166666666666666</v>
      </c>
      <c r="H75" s="195">
        <f t="shared" si="7"/>
        <v>0.09243697478991597</v>
      </c>
      <c r="I75" s="138"/>
      <c r="J75" s="121"/>
      <c r="K75" s="148"/>
    </row>
    <row r="76" spans="1:11" ht="11.25">
      <c r="A76" s="140"/>
      <c r="B76" s="165" t="s">
        <v>18</v>
      </c>
      <c r="C76" s="125">
        <v>0</v>
      </c>
      <c r="D76" s="157">
        <f t="shared" si="4"/>
        <v>0</v>
      </c>
      <c r="E76" s="142" t="s">
        <v>19</v>
      </c>
      <c r="F76" s="156">
        <v>1</v>
      </c>
      <c r="G76" s="157">
        <f t="shared" si="6"/>
        <v>0.008333333333333333</v>
      </c>
      <c r="H76" s="142" t="s">
        <v>19</v>
      </c>
      <c r="I76" s="138"/>
      <c r="J76" s="121"/>
      <c r="K76" s="148"/>
    </row>
    <row r="77" spans="1:11" ht="11.25">
      <c r="A77" s="149" t="str">
        <f>"12."</f>
        <v>12.</v>
      </c>
      <c r="B77" s="196" t="s">
        <v>233</v>
      </c>
      <c r="D77" s="195"/>
      <c r="E77" s="197"/>
      <c r="F77" s="149"/>
      <c r="G77" s="197"/>
      <c r="H77" s="158"/>
      <c r="I77" s="138"/>
      <c r="J77" s="121"/>
      <c r="K77" s="148"/>
    </row>
    <row r="78" spans="1:11" ht="11.25">
      <c r="A78" s="149"/>
      <c r="B78" s="196" t="s">
        <v>239</v>
      </c>
      <c r="D78" s="195"/>
      <c r="E78" s="134"/>
      <c r="F78" s="149"/>
      <c r="G78" s="134"/>
      <c r="I78" s="138"/>
      <c r="J78" s="121"/>
      <c r="K78" s="148"/>
    </row>
    <row r="79" spans="1:11" ht="11.25">
      <c r="A79" s="138"/>
      <c r="B79" s="148" t="s">
        <v>82</v>
      </c>
      <c r="C79" s="130">
        <v>15</v>
      </c>
      <c r="D79" s="195">
        <f aca="true" t="shared" si="8" ref="D79:D85">C79/total10m</f>
        <v>0.25</v>
      </c>
      <c r="E79" s="195">
        <f aca="true" t="shared" si="9" ref="E79:E84">C79/(total10m-q12nm)</f>
        <v>0.25</v>
      </c>
      <c r="F79" s="198">
        <v>36</v>
      </c>
      <c r="G79" s="195">
        <f aca="true" t="shared" si="10" ref="G79:G85">F79/total10f</f>
        <v>0.3</v>
      </c>
      <c r="H79" s="195">
        <f aca="true" t="shared" si="11" ref="H79:H84">F79/(total10f-q12nf)</f>
        <v>0.3025210084033613</v>
      </c>
      <c r="I79" s="138"/>
      <c r="J79" s="121"/>
      <c r="K79" s="148"/>
    </row>
    <row r="80" spans="1:11" ht="11.25">
      <c r="A80" s="138"/>
      <c r="B80" s="148" t="s">
        <v>83</v>
      </c>
      <c r="C80" s="130">
        <v>27</v>
      </c>
      <c r="D80" s="195">
        <f t="shared" si="8"/>
        <v>0.45</v>
      </c>
      <c r="E80" s="195">
        <f t="shared" si="9"/>
        <v>0.45</v>
      </c>
      <c r="F80" s="198">
        <v>44</v>
      </c>
      <c r="G80" s="195">
        <f t="shared" si="10"/>
        <v>0.36666666666666664</v>
      </c>
      <c r="H80" s="195">
        <f t="shared" si="11"/>
        <v>0.3697478991596639</v>
      </c>
      <c r="I80" s="138"/>
      <c r="J80" s="121"/>
      <c r="K80" s="148"/>
    </row>
    <row r="81" spans="1:11" ht="11.25">
      <c r="A81" s="138"/>
      <c r="B81" s="148" t="s">
        <v>84</v>
      </c>
      <c r="C81" s="130">
        <v>13</v>
      </c>
      <c r="D81" s="195">
        <f t="shared" si="8"/>
        <v>0.21666666666666667</v>
      </c>
      <c r="E81" s="195">
        <f t="shared" si="9"/>
        <v>0.21666666666666667</v>
      </c>
      <c r="F81" s="198">
        <v>32</v>
      </c>
      <c r="G81" s="195">
        <f t="shared" si="10"/>
        <v>0.26666666666666666</v>
      </c>
      <c r="H81" s="195">
        <f t="shared" si="11"/>
        <v>0.2689075630252101</v>
      </c>
      <c r="I81" s="138"/>
      <c r="J81" s="121"/>
      <c r="K81" s="148"/>
    </row>
    <row r="82" spans="1:11" ht="11.25">
      <c r="A82" s="138"/>
      <c r="B82" s="148" t="s">
        <v>85</v>
      </c>
      <c r="C82" s="130">
        <v>4</v>
      </c>
      <c r="D82" s="195">
        <f t="shared" si="8"/>
        <v>0.06666666666666667</v>
      </c>
      <c r="E82" s="195">
        <f t="shared" si="9"/>
        <v>0.06666666666666667</v>
      </c>
      <c r="F82" s="149">
        <v>3</v>
      </c>
      <c r="G82" s="195">
        <f t="shared" si="10"/>
        <v>0.025</v>
      </c>
      <c r="H82" s="195">
        <f t="shared" si="11"/>
        <v>0.025210084033613446</v>
      </c>
      <c r="I82" s="138"/>
      <c r="J82" s="121"/>
      <c r="K82" s="148"/>
    </row>
    <row r="83" spans="1:11" ht="11.25">
      <c r="A83" s="138"/>
      <c r="B83" s="148" t="s">
        <v>86</v>
      </c>
      <c r="C83" s="130">
        <v>0</v>
      </c>
      <c r="D83" s="195">
        <f t="shared" si="8"/>
        <v>0</v>
      </c>
      <c r="E83" s="195">
        <f t="shared" si="9"/>
        <v>0</v>
      </c>
      <c r="F83" s="149">
        <v>2</v>
      </c>
      <c r="G83" s="195">
        <f t="shared" si="10"/>
        <v>0.016666666666666666</v>
      </c>
      <c r="H83" s="195">
        <f t="shared" si="11"/>
        <v>0.01680672268907563</v>
      </c>
      <c r="I83" s="138"/>
      <c r="J83" s="121"/>
      <c r="K83" s="148"/>
    </row>
    <row r="84" spans="1:11" ht="11.25">
      <c r="A84" s="138"/>
      <c r="B84" s="148" t="s">
        <v>87</v>
      </c>
      <c r="C84" s="130">
        <v>1</v>
      </c>
      <c r="D84" s="195">
        <f t="shared" si="8"/>
        <v>0.016666666666666666</v>
      </c>
      <c r="E84" s="195">
        <f t="shared" si="9"/>
        <v>0.016666666666666666</v>
      </c>
      <c r="F84" s="149">
        <v>2</v>
      </c>
      <c r="G84" s="195">
        <f t="shared" si="10"/>
        <v>0.016666666666666666</v>
      </c>
      <c r="H84" s="195">
        <f t="shared" si="11"/>
        <v>0.01680672268907563</v>
      </c>
      <c r="I84" s="138"/>
      <c r="J84" s="121"/>
      <c r="K84" s="148"/>
    </row>
    <row r="85" spans="1:11" ht="11.25">
      <c r="A85" s="140"/>
      <c r="B85" s="165" t="s">
        <v>18</v>
      </c>
      <c r="C85" s="125">
        <v>0</v>
      </c>
      <c r="D85" s="157">
        <f t="shared" si="8"/>
        <v>0</v>
      </c>
      <c r="E85" s="142" t="s">
        <v>19</v>
      </c>
      <c r="F85" s="156">
        <v>1</v>
      </c>
      <c r="G85" s="157">
        <f t="shared" si="10"/>
        <v>0.008333333333333333</v>
      </c>
      <c r="H85" s="142" t="s">
        <v>19</v>
      </c>
      <c r="I85" s="199"/>
      <c r="J85" s="125"/>
      <c r="K85" s="165"/>
    </row>
    <row r="86" spans="1:11" ht="12.75">
      <c r="A86" s="115" t="s">
        <v>2</v>
      </c>
      <c r="B86" s="116"/>
      <c r="C86" s="117"/>
      <c r="D86" s="117"/>
      <c r="E86" s="117"/>
      <c r="F86" s="117"/>
      <c r="G86" s="117"/>
      <c r="H86" s="117"/>
      <c r="I86" s="116"/>
      <c r="J86" s="116"/>
      <c r="K86" s="118" t="s">
        <v>240</v>
      </c>
    </row>
    <row r="87" spans="1:11" ht="12.75">
      <c r="A87" s="6" t="s">
        <v>211</v>
      </c>
      <c r="B87" s="121"/>
      <c r="C87" s="122"/>
      <c r="D87" s="122"/>
      <c r="E87" s="122"/>
      <c r="F87" s="122"/>
      <c r="G87" s="122"/>
      <c r="H87" s="122"/>
      <c r="I87" s="121"/>
      <c r="J87" s="121"/>
      <c r="K87" s="123"/>
    </row>
    <row r="88" spans="1:11" ht="12.75">
      <c r="A88" s="124" t="s">
        <v>212</v>
      </c>
      <c r="B88" s="125"/>
      <c r="C88" s="125"/>
      <c r="D88" s="125"/>
      <c r="E88" s="125"/>
      <c r="F88" s="125"/>
      <c r="G88" s="126"/>
      <c r="H88" s="126"/>
      <c r="I88" s="127"/>
      <c r="J88" s="127"/>
      <c r="K88" s="128"/>
    </row>
    <row r="89" spans="1:11" ht="18" customHeight="1">
      <c r="A89" s="171"/>
      <c r="B89" s="161"/>
      <c r="C89" s="200" t="s">
        <v>185</v>
      </c>
      <c r="D89" s="201"/>
      <c r="E89" s="202"/>
      <c r="F89" s="200" t="s">
        <v>186</v>
      </c>
      <c r="G89" s="201"/>
      <c r="H89" s="202"/>
      <c r="I89" s="200" t="s">
        <v>187</v>
      </c>
      <c r="J89" s="203"/>
      <c r="K89" s="204"/>
    </row>
    <row r="90" spans="1:11" ht="11.25">
      <c r="A90" s="138"/>
      <c r="B90" s="148"/>
      <c r="C90" s="182"/>
      <c r="D90" s="182" t="s">
        <v>5</v>
      </c>
      <c r="E90" s="182" t="s">
        <v>5</v>
      </c>
      <c r="F90" s="205"/>
      <c r="G90" s="182" t="s">
        <v>5</v>
      </c>
      <c r="H90" s="183" t="s">
        <v>5</v>
      </c>
      <c r="I90" s="121"/>
      <c r="J90" s="121" t="s">
        <v>5</v>
      </c>
      <c r="K90" s="183" t="s">
        <v>5</v>
      </c>
    </row>
    <row r="91" spans="1:11" ht="11.25">
      <c r="A91" s="138"/>
      <c r="B91" s="206" t="s">
        <v>188</v>
      </c>
      <c r="C91" s="182"/>
      <c r="D91" s="182" t="s">
        <v>7</v>
      </c>
      <c r="E91" s="182" t="s">
        <v>8</v>
      </c>
      <c r="F91" s="205"/>
      <c r="G91" s="182" t="s">
        <v>7</v>
      </c>
      <c r="H91" s="183" t="s">
        <v>8</v>
      </c>
      <c r="I91" s="121"/>
      <c r="J91" s="121" t="s">
        <v>7</v>
      </c>
      <c r="K91" s="183" t="s">
        <v>8</v>
      </c>
    </row>
    <row r="92" spans="1:11" ht="11.25">
      <c r="A92" s="140"/>
      <c r="B92" s="165"/>
      <c r="C92" s="186" t="s">
        <v>9</v>
      </c>
      <c r="D92" s="186" t="s">
        <v>10</v>
      </c>
      <c r="E92" s="186" t="s">
        <v>10</v>
      </c>
      <c r="F92" s="185" t="s">
        <v>9</v>
      </c>
      <c r="G92" s="186" t="s">
        <v>10</v>
      </c>
      <c r="H92" s="187" t="s">
        <v>10</v>
      </c>
      <c r="I92" s="125" t="s">
        <v>9</v>
      </c>
      <c r="J92" s="125" t="s">
        <v>10</v>
      </c>
      <c r="K92" s="187" t="s">
        <v>10</v>
      </c>
    </row>
    <row r="93" spans="1:11" ht="15.75" customHeight="1">
      <c r="A93" s="149" t="s">
        <v>11</v>
      </c>
      <c r="B93" s="129"/>
      <c r="C93" s="171">
        <v>582</v>
      </c>
      <c r="D93" s="160">
        <v>1</v>
      </c>
      <c r="E93" s="118"/>
      <c r="F93" s="171">
        <v>41</v>
      </c>
      <c r="G93" s="160">
        <v>1</v>
      </c>
      <c r="H93" s="118"/>
      <c r="I93" s="171">
        <v>22</v>
      </c>
      <c r="J93" s="160">
        <v>1</v>
      </c>
      <c r="K93" s="118"/>
    </row>
    <row r="94" spans="1:14" ht="5.25" customHeight="1">
      <c r="A94" s="156"/>
      <c r="B94" s="126"/>
      <c r="C94" s="140"/>
      <c r="D94" s="125"/>
      <c r="E94" s="188"/>
      <c r="F94" s="140"/>
      <c r="G94" s="125"/>
      <c r="H94" s="188"/>
      <c r="I94" s="140"/>
      <c r="J94" s="125"/>
      <c r="K94" s="188"/>
      <c r="M94" s="129"/>
      <c r="N94" s="195"/>
    </row>
    <row r="95" spans="1:11" ht="11.25">
      <c r="A95" s="149" t="s">
        <v>241</v>
      </c>
      <c r="B95" s="129" t="s">
        <v>236</v>
      </c>
      <c r="C95" s="138"/>
      <c r="D95" s="195"/>
      <c r="F95" s="138"/>
      <c r="G95" s="121"/>
      <c r="H95" s="136"/>
      <c r="K95" s="148"/>
    </row>
    <row r="96" spans="1:15" ht="11.25">
      <c r="A96" s="138"/>
      <c r="B96" s="129" t="s">
        <v>237</v>
      </c>
      <c r="C96" s="138"/>
      <c r="D96" s="195"/>
      <c r="E96" s="195"/>
      <c r="F96" s="207"/>
      <c r="G96" s="151"/>
      <c r="H96" s="136"/>
      <c r="J96" s="135"/>
      <c r="K96" s="154"/>
      <c r="N96" s="195"/>
      <c r="O96" s="195"/>
    </row>
    <row r="97" spans="1:15" ht="11.25">
      <c r="A97" s="138"/>
      <c r="B97" s="129" t="s">
        <v>242</v>
      </c>
      <c r="C97" s="149">
        <v>112</v>
      </c>
      <c r="D97" s="195">
        <f>C97/totalw</f>
        <v>0.19243986254295534</v>
      </c>
      <c r="E97" s="195">
        <f>C97/(totalw-q10nw)</f>
        <v>0.19377162629757785</v>
      </c>
      <c r="F97" s="138">
        <v>9</v>
      </c>
      <c r="G97" s="151">
        <f>F97/totalb</f>
        <v>0.21951219512195122</v>
      </c>
      <c r="H97" s="154">
        <f>F97/(totalb-q10nb)</f>
        <v>0.21951219512195122</v>
      </c>
      <c r="I97" s="135">
        <v>6</v>
      </c>
      <c r="J97" s="151">
        <f>I97/totalo</f>
        <v>0.2727272727272727</v>
      </c>
      <c r="K97" s="154">
        <f>I97/(totalo-q10no)</f>
        <v>0.2857142857142857</v>
      </c>
      <c r="M97" s="129"/>
      <c r="N97" s="195"/>
      <c r="O97" s="195"/>
    </row>
    <row r="98" spans="1:15" ht="11.25">
      <c r="A98" s="138"/>
      <c r="B98" s="129" t="s">
        <v>243</v>
      </c>
      <c r="C98" s="149">
        <v>62</v>
      </c>
      <c r="D98" s="195">
        <f>C98/totalw</f>
        <v>0.10652920962199312</v>
      </c>
      <c r="E98" s="195">
        <f>C98/(totalw-q10nw)</f>
        <v>0.10726643598615918</v>
      </c>
      <c r="F98" s="138">
        <v>10</v>
      </c>
      <c r="G98" s="151">
        <f>F98/totalb</f>
        <v>0.24390243902439024</v>
      </c>
      <c r="H98" s="154">
        <f>F98/(totalb-q10nb)</f>
        <v>0.24390243902439024</v>
      </c>
      <c r="I98" s="135">
        <v>2</v>
      </c>
      <c r="J98" s="151">
        <f>I98/totalo</f>
        <v>0.09090909090909091</v>
      </c>
      <c r="K98" s="154">
        <f>I98/(totalo-q10no)</f>
        <v>0.09523809523809523</v>
      </c>
      <c r="M98" s="129"/>
      <c r="N98" s="195"/>
      <c r="O98" s="195"/>
    </row>
    <row r="99" spans="1:15" ht="11.25">
      <c r="A99" s="138"/>
      <c r="B99" s="129" t="s">
        <v>244</v>
      </c>
      <c r="C99" s="149">
        <v>404</v>
      </c>
      <c r="D99" s="195">
        <f>C99/totalw</f>
        <v>0.6941580756013745</v>
      </c>
      <c r="E99" s="195">
        <f>C99/(totalw-q10nw)</f>
        <v>0.698961937716263</v>
      </c>
      <c r="F99" s="138">
        <v>22</v>
      </c>
      <c r="G99" s="151">
        <f>F99/totalb</f>
        <v>0.5365853658536586</v>
      </c>
      <c r="H99" s="154">
        <f>F99/(totalb-q10nb)</f>
        <v>0.5365853658536586</v>
      </c>
      <c r="I99" s="135">
        <v>13</v>
      </c>
      <c r="J99" s="151">
        <f>I99/totalo</f>
        <v>0.5909090909090909</v>
      </c>
      <c r="K99" s="154">
        <f>I99/(totalo-q10no)</f>
        <v>0.6190476190476191</v>
      </c>
      <c r="M99" s="129"/>
      <c r="N99" s="195"/>
      <c r="O99" s="195"/>
    </row>
    <row r="100" spans="1:15" ht="11.25">
      <c r="A100" s="140"/>
      <c r="B100" s="126" t="s">
        <v>160</v>
      </c>
      <c r="C100" s="156">
        <v>4</v>
      </c>
      <c r="D100" s="157">
        <f>C100/totalw</f>
        <v>0.006872852233676976</v>
      </c>
      <c r="E100" s="142" t="s">
        <v>19</v>
      </c>
      <c r="F100" s="140">
        <v>0</v>
      </c>
      <c r="G100" s="157">
        <f>F100/totalb</f>
        <v>0</v>
      </c>
      <c r="H100" s="128" t="s">
        <v>19</v>
      </c>
      <c r="I100" s="127">
        <v>1</v>
      </c>
      <c r="J100" s="157">
        <f>I100/totalo</f>
        <v>0.045454545454545456</v>
      </c>
      <c r="K100" s="128" t="s">
        <v>19</v>
      </c>
      <c r="M100" s="129"/>
      <c r="N100" s="195"/>
      <c r="O100" s="134"/>
    </row>
    <row r="101" spans="1:11" ht="11.25">
      <c r="A101" s="159" t="s">
        <v>218</v>
      </c>
      <c r="B101" s="130" t="s">
        <v>219</v>
      </c>
      <c r="C101" s="131"/>
      <c r="D101" s="160"/>
      <c r="E101" s="189"/>
      <c r="F101" s="171"/>
      <c r="G101" s="190"/>
      <c r="H101" s="189"/>
      <c r="I101" s="121"/>
      <c r="J101" s="121"/>
      <c r="K101" s="161"/>
    </row>
    <row r="102" spans="1:11" ht="11.25">
      <c r="A102" s="159"/>
      <c r="B102" s="150" t="s">
        <v>220</v>
      </c>
      <c r="C102" s="149"/>
      <c r="D102" s="151"/>
      <c r="E102" s="168"/>
      <c r="F102" s="138"/>
      <c r="G102" s="168"/>
      <c r="H102" s="169"/>
      <c r="I102" s="121"/>
      <c r="J102" s="121"/>
      <c r="K102" s="148"/>
    </row>
    <row r="103" spans="1:11" ht="11.25">
      <c r="A103" s="149"/>
      <c r="B103" s="152" t="s">
        <v>221</v>
      </c>
      <c r="C103" s="149">
        <v>156</v>
      </c>
      <c r="D103" s="195">
        <f>C103/totalw</f>
        <v>0.26804123711340205</v>
      </c>
      <c r="E103" s="195">
        <f>C103/(totalw-q11anw)</f>
        <v>0.611764705882353</v>
      </c>
      <c r="F103" s="149">
        <v>17</v>
      </c>
      <c r="G103" s="151">
        <f>F103/totalb</f>
        <v>0.4146341463414634</v>
      </c>
      <c r="H103" s="154">
        <f>F103/(totalb-q11anb)</f>
        <v>0.425</v>
      </c>
      <c r="I103" s="135">
        <v>7</v>
      </c>
      <c r="J103" s="151">
        <f>I103/totalo</f>
        <v>0.3181818181818182</v>
      </c>
      <c r="K103" s="154">
        <f>I103/(totalo-q11ano)</f>
        <v>0.7777777777777778</v>
      </c>
    </row>
    <row r="104" spans="1:11" ht="11.25">
      <c r="A104" s="138"/>
      <c r="B104" s="153" t="s">
        <v>217</v>
      </c>
      <c r="C104" s="149">
        <v>99</v>
      </c>
      <c r="D104" s="195">
        <f>C104/totalw</f>
        <v>0.17010309278350516</v>
      </c>
      <c r="E104" s="195">
        <f>C104/(totalw-q11anw)</f>
        <v>0.38823529411764707</v>
      </c>
      <c r="F104" s="149">
        <v>4</v>
      </c>
      <c r="G104" s="151">
        <f>F104/totalb</f>
        <v>0.0975609756097561</v>
      </c>
      <c r="H104" s="154">
        <f>F104/(totalb-q11anb)</f>
        <v>0.1</v>
      </c>
      <c r="I104" s="135">
        <v>2</v>
      </c>
      <c r="J104" s="151">
        <f>I104/totalo</f>
        <v>0.09090909090909091</v>
      </c>
      <c r="K104" s="154">
        <f>I104/(totalo-q11ano)</f>
        <v>0.2222222222222222</v>
      </c>
    </row>
    <row r="105" spans="1:11" ht="11.25">
      <c r="A105" s="140"/>
      <c r="B105" s="126" t="s">
        <v>18</v>
      </c>
      <c r="C105" s="156">
        <v>327</v>
      </c>
      <c r="D105" s="157">
        <f>C105/totalw</f>
        <v>0.5618556701030928</v>
      </c>
      <c r="E105" s="142" t="s">
        <v>19</v>
      </c>
      <c r="F105" s="156">
        <v>1</v>
      </c>
      <c r="G105" s="157">
        <f>F105/totalb</f>
        <v>0.024390243902439025</v>
      </c>
      <c r="H105" s="128" t="s">
        <v>19</v>
      </c>
      <c r="I105" s="127">
        <v>13</v>
      </c>
      <c r="J105" s="157">
        <f>I105/totalo</f>
        <v>0.5909090909090909</v>
      </c>
      <c r="K105" s="128" t="s">
        <v>19</v>
      </c>
    </row>
    <row r="106" spans="1:11" ht="2.25" customHeight="1">
      <c r="A106" s="140"/>
      <c r="B106" s="125"/>
      <c r="C106" s="125"/>
      <c r="D106" s="162"/>
      <c r="E106" s="162"/>
      <c r="F106" s="125"/>
      <c r="G106" s="162"/>
      <c r="H106" s="208"/>
      <c r="I106" s="125"/>
      <c r="J106" s="157"/>
      <c r="K106" s="163"/>
    </row>
    <row r="107" spans="1:11" ht="45">
      <c r="A107" s="140"/>
      <c r="B107" s="164" t="s">
        <v>222</v>
      </c>
      <c r="C107" s="156">
        <f>C103</f>
        <v>156</v>
      </c>
      <c r="D107" s="157">
        <v>1</v>
      </c>
      <c r="E107" s="125"/>
      <c r="F107" s="143">
        <f>F103</f>
        <v>17</v>
      </c>
      <c r="G107" s="146">
        <v>1</v>
      </c>
      <c r="H107" s="209"/>
      <c r="I107" s="125">
        <f>I103</f>
        <v>7</v>
      </c>
      <c r="J107" s="146">
        <v>1</v>
      </c>
      <c r="K107" s="165"/>
    </row>
    <row r="108" spans="1:11" ht="11.25">
      <c r="A108" s="149" t="str">
        <f>"11."</f>
        <v>11.</v>
      </c>
      <c r="B108" s="210" t="s">
        <v>245</v>
      </c>
      <c r="C108" s="138"/>
      <c r="D108" s="195"/>
      <c r="E108" s="195"/>
      <c r="F108" s="207"/>
      <c r="G108" s="151"/>
      <c r="H108" s="154"/>
      <c r="J108" s="135"/>
      <c r="K108" s="154"/>
    </row>
    <row r="109" spans="1:11" ht="11.25">
      <c r="A109" s="138"/>
      <c r="B109" s="130" t="s">
        <v>224</v>
      </c>
      <c r="C109" s="138">
        <v>2</v>
      </c>
      <c r="D109" s="195">
        <f aca="true" t="shared" si="12" ref="D109:D119">C109/total10w</f>
        <v>0.01282051282051282</v>
      </c>
      <c r="E109" s="195">
        <f aca="true" t="shared" si="13" ref="E109:E118">C109/(total10w-q11nw)</f>
        <v>0.012903225806451613</v>
      </c>
      <c r="F109" s="198">
        <v>0</v>
      </c>
      <c r="G109" s="151">
        <f aca="true" t="shared" si="14" ref="G109:G119">F109/total10b</f>
        <v>0</v>
      </c>
      <c r="H109" s="154">
        <f aca="true" t="shared" si="15" ref="H109:H118">F109/(total10b-q11nb)</f>
        <v>0</v>
      </c>
      <c r="I109" s="130">
        <v>0</v>
      </c>
      <c r="J109" s="211">
        <f aca="true" t="shared" si="16" ref="J109:J119">I109/total10o</f>
        <v>0</v>
      </c>
      <c r="K109" s="212">
        <f aca="true" t="shared" si="17" ref="K109:K118">I109/(total10o-q11no)</f>
        <v>0</v>
      </c>
    </row>
    <row r="110" spans="1:11" ht="11.25">
      <c r="A110" s="138"/>
      <c r="B110" s="129" t="s">
        <v>225</v>
      </c>
      <c r="C110" s="138">
        <v>4</v>
      </c>
      <c r="D110" s="195">
        <f t="shared" si="12"/>
        <v>0.02564102564102564</v>
      </c>
      <c r="E110" s="195">
        <f t="shared" si="13"/>
        <v>0.025806451612903226</v>
      </c>
      <c r="F110" s="198">
        <v>1</v>
      </c>
      <c r="G110" s="151">
        <f t="shared" si="14"/>
        <v>0.058823529411764705</v>
      </c>
      <c r="H110" s="154">
        <f t="shared" si="15"/>
        <v>0.058823529411764705</v>
      </c>
      <c r="I110" s="130">
        <v>0</v>
      </c>
      <c r="J110" s="211">
        <f t="shared" si="16"/>
        <v>0</v>
      </c>
      <c r="K110" s="212">
        <f t="shared" si="17"/>
        <v>0</v>
      </c>
    </row>
    <row r="111" spans="1:11" ht="11.25">
      <c r="A111" s="138"/>
      <c r="B111" s="130" t="s">
        <v>226</v>
      </c>
      <c r="C111" s="138">
        <v>76</v>
      </c>
      <c r="D111" s="195">
        <f t="shared" si="12"/>
        <v>0.48717948717948717</v>
      </c>
      <c r="E111" s="195">
        <f t="shared" si="13"/>
        <v>0.49032258064516127</v>
      </c>
      <c r="F111" s="149">
        <v>8</v>
      </c>
      <c r="G111" s="151">
        <f t="shared" si="14"/>
        <v>0.47058823529411764</v>
      </c>
      <c r="H111" s="154">
        <f t="shared" si="15"/>
        <v>0.47058823529411764</v>
      </c>
      <c r="I111" s="135">
        <v>0</v>
      </c>
      <c r="J111" s="211">
        <f t="shared" si="16"/>
        <v>0</v>
      </c>
      <c r="K111" s="212">
        <f t="shared" si="17"/>
        <v>0</v>
      </c>
    </row>
    <row r="112" spans="1:11" ht="11.25">
      <c r="A112" s="138"/>
      <c r="B112" s="130" t="s">
        <v>238</v>
      </c>
      <c r="C112" s="138">
        <v>49</v>
      </c>
      <c r="D112" s="195">
        <f t="shared" si="12"/>
        <v>0.3141025641025641</v>
      </c>
      <c r="E112" s="195">
        <f t="shared" si="13"/>
        <v>0.3161290322580645</v>
      </c>
      <c r="F112" s="149">
        <v>4</v>
      </c>
      <c r="G112" s="151">
        <f t="shared" si="14"/>
        <v>0.23529411764705882</v>
      </c>
      <c r="H112" s="154">
        <f t="shared" si="15"/>
        <v>0.23529411764705882</v>
      </c>
      <c r="I112" s="135">
        <v>6</v>
      </c>
      <c r="J112" s="211">
        <f t="shared" si="16"/>
        <v>0.8571428571428571</v>
      </c>
      <c r="K112" s="212">
        <f t="shared" si="17"/>
        <v>0.8571428571428571</v>
      </c>
    </row>
    <row r="113" spans="1:11" ht="11.25">
      <c r="A113" s="138"/>
      <c r="B113" s="130" t="s">
        <v>228</v>
      </c>
      <c r="C113" s="138">
        <v>0</v>
      </c>
      <c r="D113" s="195">
        <f t="shared" si="12"/>
        <v>0</v>
      </c>
      <c r="E113" s="195">
        <f t="shared" si="13"/>
        <v>0</v>
      </c>
      <c r="F113" s="149">
        <v>1</v>
      </c>
      <c r="G113" s="151">
        <f t="shared" si="14"/>
        <v>0.058823529411764705</v>
      </c>
      <c r="H113" s="154">
        <f t="shared" si="15"/>
        <v>0.058823529411764705</v>
      </c>
      <c r="I113" s="135">
        <v>0</v>
      </c>
      <c r="J113" s="211">
        <f t="shared" si="16"/>
        <v>0</v>
      </c>
      <c r="K113" s="212">
        <f t="shared" si="17"/>
        <v>0</v>
      </c>
    </row>
    <row r="114" spans="1:11" ht="11.25">
      <c r="A114" s="138"/>
      <c r="B114" s="130" t="s">
        <v>229</v>
      </c>
      <c r="C114" s="138">
        <v>5</v>
      </c>
      <c r="D114" s="195">
        <f t="shared" si="12"/>
        <v>0.03205128205128205</v>
      </c>
      <c r="E114" s="195">
        <f t="shared" si="13"/>
        <v>0.03225806451612903</v>
      </c>
      <c r="F114" s="149">
        <v>0</v>
      </c>
      <c r="G114" s="151">
        <f t="shared" si="14"/>
        <v>0</v>
      </c>
      <c r="H114" s="154">
        <f t="shared" si="15"/>
        <v>0</v>
      </c>
      <c r="I114" s="135">
        <v>0</v>
      </c>
      <c r="J114" s="211">
        <f t="shared" si="16"/>
        <v>0</v>
      </c>
      <c r="K114" s="212">
        <f t="shared" si="17"/>
        <v>0</v>
      </c>
    </row>
    <row r="115" spans="1:11" ht="11.25">
      <c r="A115" s="138"/>
      <c r="B115" s="130" t="s">
        <v>230</v>
      </c>
      <c r="C115" s="138">
        <v>0</v>
      </c>
      <c r="D115" s="195">
        <f t="shared" si="12"/>
        <v>0</v>
      </c>
      <c r="E115" s="195">
        <f t="shared" si="13"/>
        <v>0</v>
      </c>
      <c r="F115" s="149">
        <v>0</v>
      </c>
      <c r="G115" s="151">
        <f t="shared" si="14"/>
        <v>0</v>
      </c>
      <c r="H115" s="154">
        <f t="shared" si="15"/>
        <v>0</v>
      </c>
      <c r="I115" s="135">
        <v>0</v>
      </c>
      <c r="J115" s="211">
        <f t="shared" si="16"/>
        <v>0</v>
      </c>
      <c r="K115" s="212">
        <f t="shared" si="17"/>
        <v>0</v>
      </c>
    </row>
    <row r="116" spans="1:11" ht="11.25">
      <c r="A116" s="138"/>
      <c r="B116" s="130" t="s">
        <v>231</v>
      </c>
      <c r="C116" s="138">
        <v>4</v>
      </c>
      <c r="D116" s="195">
        <f t="shared" si="12"/>
        <v>0.02564102564102564</v>
      </c>
      <c r="E116" s="195">
        <f t="shared" si="13"/>
        <v>0.025806451612903226</v>
      </c>
      <c r="F116" s="198">
        <v>2</v>
      </c>
      <c r="G116" s="151">
        <f t="shared" si="14"/>
        <v>0.11764705882352941</v>
      </c>
      <c r="H116" s="154">
        <f t="shared" si="15"/>
        <v>0.11764705882352941</v>
      </c>
      <c r="I116" s="130">
        <v>0</v>
      </c>
      <c r="J116" s="211">
        <f t="shared" si="16"/>
        <v>0</v>
      </c>
      <c r="K116" s="212">
        <f t="shared" si="17"/>
        <v>0</v>
      </c>
    </row>
    <row r="117" spans="1:11" ht="11.25">
      <c r="A117" s="138"/>
      <c r="B117" s="130" t="s">
        <v>232</v>
      </c>
      <c r="C117" s="138">
        <v>6</v>
      </c>
      <c r="D117" s="195">
        <f t="shared" si="12"/>
        <v>0.038461538461538464</v>
      </c>
      <c r="E117" s="195">
        <f t="shared" si="13"/>
        <v>0.03870967741935484</v>
      </c>
      <c r="F117" s="198">
        <v>0</v>
      </c>
      <c r="G117" s="151">
        <f t="shared" si="14"/>
        <v>0</v>
      </c>
      <c r="H117" s="154">
        <f t="shared" si="15"/>
        <v>0</v>
      </c>
      <c r="I117" s="130">
        <v>0</v>
      </c>
      <c r="J117" s="211">
        <f t="shared" si="16"/>
        <v>0</v>
      </c>
      <c r="K117" s="212">
        <f t="shared" si="17"/>
        <v>0</v>
      </c>
    </row>
    <row r="118" spans="1:11" ht="11.25">
      <c r="A118" s="138"/>
      <c r="B118" s="130" t="s">
        <v>24</v>
      </c>
      <c r="C118" s="138">
        <v>9</v>
      </c>
      <c r="D118" s="195">
        <f t="shared" si="12"/>
        <v>0.057692307692307696</v>
      </c>
      <c r="E118" s="195">
        <f t="shared" si="13"/>
        <v>0.05806451612903226</v>
      </c>
      <c r="F118" s="149">
        <v>1</v>
      </c>
      <c r="G118" s="151">
        <f t="shared" si="14"/>
        <v>0.058823529411764705</v>
      </c>
      <c r="H118" s="154">
        <f t="shared" si="15"/>
        <v>0.058823529411764705</v>
      </c>
      <c r="I118" s="135">
        <v>1</v>
      </c>
      <c r="J118" s="211">
        <f t="shared" si="16"/>
        <v>0.14285714285714285</v>
      </c>
      <c r="K118" s="212">
        <f t="shared" si="17"/>
        <v>0.14285714285714285</v>
      </c>
    </row>
    <row r="119" spans="1:11" ht="11.25">
      <c r="A119" s="140"/>
      <c r="B119" s="125" t="s">
        <v>18</v>
      </c>
      <c r="C119" s="140">
        <v>1</v>
      </c>
      <c r="D119" s="157">
        <f t="shared" si="12"/>
        <v>0.00641025641025641</v>
      </c>
      <c r="E119" s="142" t="s">
        <v>19</v>
      </c>
      <c r="F119" s="156">
        <v>0</v>
      </c>
      <c r="G119" s="157">
        <f t="shared" si="14"/>
        <v>0</v>
      </c>
      <c r="H119" s="128" t="s">
        <v>19</v>
      </c>
      <c r="I119" s="127">
        <v>0</v>
      </c>
      <c r="J119" s="213">
        <f t="shared" si="16"/>
        <v>0</v>
      </c>
      <c r="K119" s="128" t="s">
        <v>19</v>
      </c>
    </row>
    <row r="120" spans="1:11" ht="11.25">
      <c r="A120" s="149" t="str">
        <f>"12."</f>
        <v>12.</v>
      </c>
      <c r="B120" s="214" t="s">
        <v>233</v>
      </c>
      <c r="C120" s="138"/>
      <c r="D120" s="195"/>
      <c r="E120" s="197"/>
      <c r="F120" s="149"/>
      <c r="G120" s="215"/>
      <c r="H120" s="216"/>
      <c r="I120" s="135"/>
      <c r="J120" s="217"/>
      <c r="K120" s="218"/>
    </row>
    <row r="121" spans="1:11" ht="11.25">
      <c r="A121" s="149"/>
      <c r="B121" s="196" t="s">
        <v>239</v>
      </c>
      <c r="C121" s="138"/>
      <c r="D121" s="195"/>
      <c r="E121" s="136"/>
      <c r="F121" s="149"/>
      <c r="G121" s="139"/>
      <c r="H121" s="139"/>
      <c r="I121" s="219"/>
      <c r="K121" s="148"/>
    </row>
    <row r="122" spans="1:11" ht="11.25">
      <c r="A122" s="138"/>
      <c r="B122" s="130" t="s">
        <v>82</v>
      </c>
      <c r="C122" s="138">
        <v>49</v>
      </c>
      <c r="D122" s="195">
        <f aca="true" t="shared" si="18" ref="D122:D128">C122/total10w</f>
        <v>0.3141025641025641</v>
      </c>
      <c r="E122" s="195">
        <f aca="true" t="shared" si="19" ref="E122:E127">C122/(total10w-q12nw)</f>
        <v>0.3141025641025641</v>
      </c>
      <c r="F122" s="198">
        <v>1</v>
      </c>
      <c r="G122" s="151">
        <f aca="true" t="shared" si="20" ref="G122:G128">F122/total10b</f>
        <v>0.058823529411764705</v>
      </c>
      <c r="H122" s="154">
        <f aca="true" t="shared" si="21" ref="H122:H127">F122/(total10b-q12nb)</f>
        <v>0.058823529411764705</v>
      </c>
      <c r="I122" s="130">
        <v>1</v>
      </c>
      <c r="J122" s="211">
        <f aca="true" t="shared" si="22" ref="J122:J128">I122/total10o</f>
        <v>0.14285714285714285</v>
      </c>
      <c r="K122" s="212">
        <f aca="true" t="shared" si="23" ref="K122:K127">I122/(total10o-q12no)</f>
        <v>0.16666666666666666</v>
      </c>
    </row>
    <row r="123" spans="1:11" ht="11.25">
      <c r="A123" s="138"/>
      <c r="B123" s="130" t="s">
        <v>83</v>
      </c>
      <c r="C123" s="138">
        <v>65</v>
      </c>
      <c r="D123" s="195">
        <f t="shared" si="18"/>
        <v>0.4166666666666667</v>
      </c>
      <c r="E123" s="195">
        <f t="shared" si="19"/>
        <v>0.4166666666666667</v>
      </c>
      <c r="F123" s="198">
        <v>3</v>
      </c>
      <c r="G123" s="151">
        <f t="shared" si="20"/>
        <v>0.17647058823529413</v>
      </c>
      <c r="H123" s="154">
        <f t="shared" si="21"/>
        <v>0.17647058823529413</v>
      </c>
      <c r="I123" s="130">
        <v>3</v>
      </c>
      <c r="J123" s="211">
        <f t="shared" si="22"/>
        <v>0.42857142857142855</v>
      </c>
      <c r="K123" s="212">
        <f t="shared" si="23"/>
        <v>0.5</v>
      </c>
    </row>
    <row r="124" spans="1:11" ht="11.25">
      <c r="A124" s="138"/>
      <c r="B124" s="130" t="s">
        <v>84</v>
      </c>
      <c r="C124" s="138">
        <v>31</v>
      </c>
      <c r="D124" s="195">
        <f t="shared" si="18"/>
        <v>0.1987179487179487</v>
      </c>
      <c r="E124" s="195">
        <f t="shared" si="19"/>
        <v>0.1987179487179487</v>
      </c>
      <c r="F124" s="198">
        <v>12</v>
      </c>
      <c r="G124" s="151">
        <f t="shared" si="20"/>
        <v>0.7058823529411765</v>
      </c>
      <c r="H124" s="154">
        <f t="shared" si="21"/>
        <v>0.7058823529411765</v>
      </c>
      <c r="I124" s="130">
        <v>2</v>
      </c>
      <c r="J124" s="211">
        <f t="shared" si="22"/>
        <v>0.2857142857142857</v>
      </c>
      <c r="K124" s="212">
        <f t="shared" si="23"/>
        <v>0.3333333333333333</v>
      </c>
    </row>
    <row r="125" spans="1:11" ht="11.25">
      <c r="A125" s="138"/>
      <c r="B125" s="130" t="s">
        <v>85</v>
      </c>
      <c r="C125" s="138">
        <v>6</v>
      </c>
      <c r="D125" s="195">
        <f t="shared" si="18"/>
        <v>0.038461538461538464</v>
      </c>
      <c r="E125" s="195">
        <f t="shared" si="19"/>
        <v>0.038461538461538464</v>
      </c>
      <c r="F125" s="149">
        <v>1</v>
      </c>
      <c r="G125" s="151">
        <f t="shared" si="20"/>
        <v>0.058823529411764705</v>
      </c>
      <c r="H125" s="154">
        <f t="shared" si="21"/>
        <v>0.058823529411764705</v>
      </c>
      <c r="I125" s="135">
        <v>0</v>
      </c>
      <c r="J125" s="211">
        <f t="shared" si="22"/>
        <v>0</v>
      </c>
      <c r="K125" s="212">
        <f t="shared" si="23"/>
        <v>0</v>
      </c>
    </row>
    <row r="126" spans="1:11" ht="11.25">
      <c r="A126" s="138"/>
      <c r="B126" s="130" t="s">
        <v>86</v>
      </c>
      <c r="C126" s="138">
        <v>2</v>
      </c>
      <c r="D126" s="195">
        <f t="shared" si="18"/>
        <v>0.01282051282051282</v>
      </c>
      <c r="E126" s="195">
        <f t="shared" si="19"/>
        <v>0.01282051282051282</v>
      </c>
      <c r="F126" s="149">
        <v>0</v>
      </c>
      <c r="G126" s="151">
        <f t="shared" si="20"/>
        <v>0</v>
      </c>
      <c r="H126" s="154">
        <f t="shared" si="21"/>
        <v>0</v>
      </c>
      <c r="I126" s="135">
        <v>0</v>
      </c>
      <c r="J126" s="211">
        <f t="shared" si="22"/>
        <v>0</v>
      </c>
      <c r="K126" s="212">
        <f t="shared" si="23"/>
        <v>0</v>
      </c>
    </row>
    <row r="127" spans="1:11" ht="11.25">
      <c r="A127" s="138"/>
      <c r="B127" s="130" t="s">
        <v>87</v>
      </c>
      <c r="C127" s="138">
        <v>3</v>
      </c>
      <c r="D127" s="195">
        <f t="shared" si="18"/>
        <v>0.019230769230769232</v>
      </c>
      <c r="E127" s="195">
        <f t="shared" si="19"/>
        <v>0.019230769230769232</v>
      </c>
      <c r="F127" s="149">
        <v>0</v>
      </c>
      <c r="G127" s="151">
        <f t="shared" si="20"/>
        <v>0</v>
      </c>
      <c r="H127" s="154">
        <f t="shared" si="21"/>
        <v>0</v>
      </c>
      <c r="I127" s="135">
        <v>0</v>
      </c>
      <c r="J127" s="211">
        <f t="shared" si="22"/>
        <v>0</v>
      </c>
      <c r="K127" s="212">
        <f t="shared" si="23"/>
        <v>0</v>
      </c>
    </row>
    <row r="128" spans="1:11" ht="11.25">
      <c r="A128" s="140"/>
      <c r="B128" s="125" t="s">
        <v>18</v>
      </c>
      <c r="C128" s="140">
        <v>0</v>
      </c>
      <c r="D128" s="157">
        <f t="shared" si="18"/>
        <v>0</v>
      </c>
      <c r="E128" s="142" t="s">
        <v>19</v>
      </c>
      <c r="F128" s="156">
        <v>0</v>
      </c>
      <c r="G128" s="157">
        <f t="shared" si="20"/>
        <v>0</v>
      </c>
      <c r="H128" s="128" t="s">
        <v>19</v>
      </c>
      <c r="I128" s="127">
        <v>1</v>
      </c>
      <c r="J128" s="213">
        <f t="shared" si="22"/>
        <v>0.14285714285714285</v>
      </c>
      <c r="K128" s="128" t="s">
        <v>19</v>
      </c>
    </row>
    <row r="129" spans="1:11" ht="11.25">
      <c r="A129" s="138"/>
      <c r="C129" s="130">
        <v>3</v>
      </c>
      <c r="D129" s="195"/>
      <c r="E129" s="195"/>
      <c r="F129" s="129"/>
      <c r="G129" s="195"/>
      <c r="H129" s="197"/>
      <c r="I129" s="135"/>
      <c r="J129" s="217"/>
      <c r="K129" s="218"/>
    </row>
    <row r="130" spans="1:11" ht="11.25">
      <c r="A130" s="138"/>
      <c r="C130" s="130">
        <v>4</v>
      </c>
      <c r="D130" s="195"/>
      <c r="E130" s="134"/>
      <c r="F130" s="195"/>
      <c r="G130" s="134"/>
      <c r="H130" s="134"/>
      <c r="I130" s="135"/>
      <c r="K130" s="148"/>
    </row>
    <row r="131" spans="1:11" ht="7.5" customHeight="1">
      <c r="A131" s="140"/>
      <c r="B131" s="125"/>
      <c r="C131" s="125">
        <v>11</v>
      </c>
      <c r="D131" s="125"/>
      <c r="E131" s="125"/>
      <c r="F131" s="125"/>
      <c r="G131" s="125"/>
      <c r="H131" s="142"/>
      <c r="I131" s="125"/>
      <c r="J131" s="125"/>
      <c r="K131" s="165"/>
    </row>
    <row r="132" spans="1:11" ht="11.25">
      <c r="A132" s="121"/>
      <c r="B132" s="121"/>
      <c r="C132" s="121"/>
      <c r="D132" s="168"/>
      <c r="E132" s="168"/>
      <c r="F132" s="121"/>
      <c r="G132" s="168"/>
      <c r="H132" s="168"/>
      <c r="I132" s="121"/>
      <c r="J132" s="220"/>
      <c r="K132" s="220"/>
    </row>
    <row r="138" spans="1:11" ht="12.75">
      <c r="A138" s="115" t="s">
        <v>0</v>
      </c>
      <c r="B138" s="116"/>
      <c r="C138" s="117"/>
      <c r="D138" s="170"/>
      <c r="E138" s="170"/>
      <c r="F138" s="117"/>
      <c r="G138" s="170"/>
      <c r="H138" s="170"/>
      <c r="I138" s="116"/>
      <c r="J138" s="190"/>
      <c r="K138" s="182"/>
    </row>
  </sheetData>
  <printOptions horizontalCentered="1"/>
  <pageMargins left="0.25" right="0.2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2" max="10" man="1"/>
    <brk id="8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">
      <selection activeCell="A82" sqref="A82:B82"/>
    </sheetView>
  </sheetViews>
  <sheetFormatPr defaultColWidth="9.140625" defaultRowHeight="12.75"/>
  <cols>
    <col min="1" max="1" width="3.8515625" style="226" customWidth="1"/>
    <col min="2" max="2" width="43.57421875" style="226" customWidth="1"/>
    <col min="3" max="3" width="7.57421875" style="226" customWidth="1"/>
    <col min="4" max="5" width="11.8515625" style="226" customWidth="1"/>
    <col min="6" max="6" width="7.57421875" style="226" customWidth="1"/>
    <col min="7" max="8" width="11.8515625" style="226" customWidth="1"/>
    <col min="9" max="9" width="7.57421875" style="226" customWidth="1"/>
    <col min="10" max="11" width="11.8515625" style="226" customWidth="1"/>
    <col min="12" max="16384" width="7.8515625" style="226" customWidth="1"/>
  </cols>
  <sheetData>
    <row r="1" spans="1:11" ht="12.75">
      <c r="A1" s="221" t="s">
        <v>0</v>
      </c>
      <c r="B1" s="222"/>
      <c r="C1" s="223"/>
      <c r="D1" s="223"/>
      <c r="E1" s="223"/>
      <c r="F1" s="224"/>
      <c r="G1" s="224"/>
      <c r="H1" s="224"/>
      <c r="I1" s="224"/>
      <c r="J1" s="224"/>
      <c r="K1" s="225" t="s">
        <v>247</v>
      </c>
    </row>
    <row r="2" spans="1:11" ht="12.75">
      <c r="A2" s="227" t="s">
        <v>2</v>
      </c>
      <c r="C2" s="228"/>
      <c r="D2" s="228"/>
      <c r="E2" s="228"/>
      <c r="F2" s="229"/>
      <c r="G2" s="229"/>
      <c r="H2" s="229"/>
      <c r="I2" s="229"/>
      <c r="J2" s="229"/>
      <c r="K2" s="230"/>
    </row>
    <row r="3" spans="1:11" ht="12.75">
      <c r="A3" s="6" t="s">
        <v>248</v>
      </c>
      <c r="C3" s="228"/>
      <c r="D3" s="228"/>
      <c r="E3" s="228"/>
      <c r="F3" s="229"/>
      <c r="G3" s="229"/>
      <c r="H3" s="229"/>
      <c r="I3" s="229"/>
      <c r="J3" s="229"/>
      <c r="K3" s="230"/>
    </row>
    <row r="4" spans="1:11" ht="12.75">
      <c r="A4" s="231" t="s">
        <v>249</v>
      </c>
      <c r="C4" s="232"/>
      <c r="D4" s="232"/>
      <c r="E4" s="232"/>
      <c r="F4" s="232"/>
      <c r="G4" s="232"/>
      <c r="H4" s="232"/>
      <c r="I4" s="233"/>
      <c r="J4" s="233"/>
      <c r="K4" s="234"/>
    </row>
    <row r="5" spans="1:19" ht="11.25">
      <c r="A5" s="235"/>
      <c r="B5" s="236"/>
      <c r="C5" s="224"/>
      <c r="D5" s="237" t="s">
        <v>5</v>
      </c>
      <c r="E5" s="238" t="s">
        <v>5</v>
      </c>
      <c r="H5" s="239"/>
      <c r="I5" s="239"/>
      <c r="J5" s="239"/>
      <c r="K5" s="240"/>
      <c r="L5" s="239"/>
      <c r="M5" s="239"/>
      <c r="N5" s="239"/>
      <c r="O5" s="239"/>
      <c r="P5" s="239"/>
      <c r="Q5" s="239"/>
      <c r="R5" s="239"/>
      <c r="S5" s="239"/>
    </row>
    <row r="6" spans="1:20" ht="11.25">
      <c r="A6" s="241"/>
      <c r="B6" s="242" t="s">
        <v>6</v>
      </c>
      <c r="C6" s="243"/>
      <c r="D6" s="244" t="s">
        <v>7</v>
      </c>
      <c r="E6" s="240" t="s">
        <v>8</v>
      </c>
      <c r="H6" s="239"/>
      <c r="I6" s="239"/>
      <c r="J6" s="239"/>
      <c r="K6" s="240"/>
      <c r="L6" s="239"/>
      <c r="M6" s="239"/>
      <c r="N6" s="239"/>
      <c r="O6" s="239"/>
      <c r="P6" s="239"/>
      <c r="Q6" s="239"/>
      <c r="R6" s="239"/>
      <c r="S6" s="239"/>
      <c r="T6" s="239"/>
    </row>
    <row r="7" spans="1:19" ht="11.25">
      <c r="A7" s="245"/>
      <c r="B7" s="234"/>
      <c r="C7" s="246" t="s">
        <v>9</v>
      </c>
      <c r="D7" s="246" t="s">
        <v>10</v>
      </c>
      <c r="E7" s="247" t="s">
        <v>10</v>
      </c>
      <c r="H7" s="239"/>
      <c r="I7" s="239"/>
      <c r="J7" s="239"/>
      <c r="K7" s="240"/>
      <c r="L7" s="239"/>
      <c r="M7" s="239"/>
      <c r="N7" s="239"/>
      <c r="O7" s="239"/>
      <c r="P7" s="239"/>
      <c r="Q7" s="239"/>
      <c r="R7" s="239"/>
      <c r="S7" s="239"/>
    </row>
    <row r="8" spans="1:11" ht="11.25">
      <c r="A8" s="245"/>
      <c r="B8" s="248" t="s">
        <v>11</v>
      </c>
      <c r="C8" s="232">
        <v>645</v>
      </c>
      <c r="D8" s="249">
        <v>1</v>
      </c>
      <c r="E8" s="250"/>
      <c r="K8" s="230"/>
    </row>
    <row r="9" spans="1:11" ht="11.25">
      <c r="A9" s="251" t="s">
        <v>250</v>
      </c>
      <c r="B9" s="252" t="s">
        <v>251</v>
      </c>
      <c r="C9" s="253"/>
      <c r="D9" s="254"/>
      <c r="E9" s="230"/>
      <c r="K9" s="230"/>
    </row>
    <row r="10" spans="1:11" ht="11.25">
      <c r="A10" s="241"/>
      <c r="B10" s="252" t="s">
        <v>252</v>
      </c>
      <c r="E10" s="230"/>
      <c r="K10" s="230"/>
    </row>
    <row r="11" spans="1:11" ht="11.25">
      <c r="A11" s="241"/>
      <c r="B11" s="252" t="s">
        <v>253</v>
      </c>
      <c r="C11" s="253">
        <v>98</v>
      </c>
      <c r="D11" s="254">
        <f aca="true" t="shared" si="0" ref="D11:D17">C11/total</f>
        <v>0.15193798449612403</v>
      </c>
      <c r="E11" s="255">
        <f aca="true" t="shared" si="1" ref="E11:E16">C11/(total-q13n)</f>
        <v>0.15555555555555556</v>
      </c>
      <c r="K11" s="230"/>
    </row>
    <row r="12" spans="1:11" ht="11.25">
      <c r="A12" s="241"/>
      <c r="B12" s="252" t="s">
        <v>254</v>
      </c>
      <c r="C12" s="253">
        <v>338</v>
      </c>
      <c r="D12" s="254">
        <f t="shared" si="0"/>
        <v>0.524031007751938</v>
      </c>
      <c r="E12" s="255">
        <f t="shared" si="1"/>
        <v>0.5365079365079365</v>
      </c>
      <c r="K12" s="230"/>
    </row>
    <row r="13" spans="1:11" ht="11.25">
      <c r="A13" s="241"/>
      <c r="B13" s="252" t="s">
        <v>255</v>
      </c>
      <c r="C13" s="253">
        <v>135</v>
      </c>
      <c r="D13" s="254">
        <f t="shared" si="0"/>
        <v>0.20930232558139536</v>
      </c>
      <c r="E13" s="255">
        <f t="shared" si="1"/>
        <v>0.21428571428571427</v>
      </c>
      <c r="K13" s="230"/>
    </row>
    <row r="14" spans="1:11" ht="11.25">
      <c r="A14" s="241"/>
      <c r="B14" s="252" t="s">
        <v>256</v>
      </c>
      <c r="C14" s="253">
        <v>45</v>
      </c>
      <c r="D14" s="254">
        <f t="shared" si="0"/>
        <v>0.06976744186046512</v>
      </c>
      <c r="E14" s="255">
        <f t="shared" si="1"/>
        <v>0.07142857142857142</v>
      </c>
      <c r="K14" s="230"/>
    </row>
    <row r="15" spans="1:11" ht="11.25">
      <c r="A15" s="241"/>
      <c r="B15" s="252" t="s">
        <v>257</v>
      </c>
      <c r="C15" s="253">
        <v>7</v>
      </c>
      <c r="D15" s="254">
        <f t="shared" si="0"/>
        <v>0.010852713178294573</v>
      </c>
      <c r="E15" s="255">
        <f t="shared" si="1"/>
        <v>0.011111111111111112</v>
      </c>
      <c r="K15" s="230"/>
    </row>
    <row r="16" spans="1:11" ht="11.25">
      <c r="A16" s="241"/>
      <c r="B16" s="252" t="s">
        <v>258</v>
      </c>
      <c r="C16" s="253">
        <v>7</v>
      </c>
      <c r="D16" s="254">
        <f t="shared" si="0"/>
        <v>0.010852713178294573</v>
      </c>
      <c r="E16" s="255">
        <f t="shared" si="1"/>
        <v>0.011111111111111112</v>
      </c>
      <c r="K16" s="230"/>
    </row>
    <row r="17" spans="1:11" ht="11.25">
      <c r="A17" s="245"/>
      <c r="B17" s="248" t="s">
        <v>18</v>
      </c>
      <c r="C17" s="232">
        <v>15</v>
      </c>
      <c r="D17" s="249">
        <f t="shared" si="0"/>
        <v>0.023255813953488372</v>
      </c>
      <c r="E17" s="247" t="s">
        <v>19</v>
      </c>
      <c r="K17" s="230"/>
    </row>
    <row r="18" spans="1:11" ht="11.25">
      <c r="A18" s="256" t="s">
        <v>259</v>
      </c>
      <c r="B18" s="236" t="s">
        <v>260</v>
      </c>
      <c r="C18" s="253"/>
      <c r="D18" s="254"/>
      <c r="E18" s="257"/>
      <c r="K18" s="230"/>
    </row>
    <row r="19" spans="1:11" ht="11.25">
      <c r="A19" s="241"/>
      <c r="B19" s="252" t="s">
        <v>261</v>
      </c>
      <c r="E19" s="230"/>
      <c r="K19" s="230"/>
    </row>
    <row r="20" spans="1:11" ht="11.25">
      <c r="A20" s="241"/>
      <c r="B20" s="252" t="s">
        <v>253</v>
      </c>
      <c r="C20" s="253">
        <v>147</v>
      </c>
      <c r="D20" s="254">
        <f aca="true" t="shared" si="2" ref="D20:D26">C20/total</f>
        <v>0.22790697674418606</v>
      </c>
      <c r="E20" s="255">
        <f aca="true" t="shared" si="3" ref="E20:E25">C20/(total-q14n)</f>
        <v>0.23370429252782193</v>
      </c>
      <c r="K20" s="230"/>
    </row>
    <row r="21" spans="1:11" ht="11.25">
      <c r="A21" s="241"/>
      <c r="B21" s="252" t="s">
        <v>254</v>
      </c>
      <c r="C21" s="253">
        <v>318</v>
      </c>
      <c r="D21" s="254">
        <f t="shared" si="2"/>
        <v>0.4930232558139535</v>
      </c>
      <c r="E21" s="255">
        <f t="shared" si="3"/>
        <v>0.505564387917329</v>
      </c>
      <c r="K21" s="230"/>
    </row>
    <row r="22" spans="1:11" ht="11.25">
      <c r="A22" s="241"/>
      <c r="B22" s="252" t="s">
        <v>255</v>
      </c>
      <c r="C22" s="253">
        <v>115</v>
      </c>
      <c r="D22" s="254">
        <f t="shared" si="2"/>
        <v>0.17829457364341086</v>
      </c>
      <c r="E22" s="255">
        <f t="shared" si="3"/>
        <v>0.18282988871224165</v>
      </c>
      <c r="K22" s="230"/>
    </row>
    <row r="23" spans="1:11" ht="11.25">
      <c r="A23" s="241"/>
      <c r="B23" s="252" t="s">
        <v>256</v>
      </c>
      <c r="C23" s="253">
        <v>37</v>
      </c>
      <c r="D23" s="254">
        <f t="shared" si="2"/>
        <v>0.05736434108527132</v>
      </c>
      <c r="E23" s="255">
        <f t="shared" si="3"/>
        <v>0.058823529411764705</v>
      </c>
      <c r="K23" s="230"/>
    </row>
    <row r="24" spans="1:11" ht="11.25">
      <c r="A24" s="241"/>
      <c r="B24" s="252" t="s">
        <v>257</v>
      </c>
      <c r="C24" s="253">
        <v>8</v>
      </c>
      <c r="D24" s="254">
        <f t="shared" si="2"/>
        <v>0.012403100775193798</v>
      </c>
      <c r="E24" s="255">
        <f t="shared" si="3"/>
        <v>0.012718600953895072</v>
      </c>
      <c r="K24" s="230"/>
    </row>
    <row r="25" spans="1:11" ht="11.25">
      <c r="A25" s="241"/>
      <c r="B25" s="252" t="s">
        <v>258</v>
      </c>
      <c r="C25" s="253">
        <v>4</v>
      </c>
      <c r="D25" s="254">
        <f t="shared" si="2"/>
        <v>0.006201550387596899</v>
      </c>
      <c r="E25" s="255">
        <f t="shared" si="3"/>
        <v>0.006359300476947536</v>
      </c>
      <c r="K25" s="230"/>
    </row>
    <row r="26" spans="1:11" ht="11.25">
      <c r="A26" s="245"/>
      <c r="B26" s="248" t="s">
        <v>18</v>
      </c>
      <c r="C26" s="232">
        <v>16</v>
      </c>
      <c r="D26" s="249">
        <f t="shared" si="2"/>
        <v>0.024806201550387597</v>
      </c>
      <c r="E26" s="247" t="s">
        <v>19</v>
      </c>
      <c r="K26" s="230"/>
    </row>
    <row r="27" spans="1:11" ht="17.25" customHeight="1">
      <c r="A27" s="258"/>
      <c r="B27" s="259"/>
      <c r="C27" s="260" t="s">
        <v>153</v>
      </c>
      <c r="D27" s="261"/>
      <c r="E27" s="262"/>
      <c r="F27" s="260" t="s">
        <v>154</v>
      </c>
      <c r="G27" s="260"/>
      <c r="H27" s="263"/>
      <c r="K27" s="230"/>
    </row>
    <row r="28" spans="1:11" ht="17.25" customHeight="1">
      <c r="A28" s="241"/>
      <c r="B28" s="230"/>
      <c r="C28" s="264"/>
      <c r="D28" s="265" t="s">
        <v>5</v>
      </c>
      <c r="E28" s="266" t="s">
        <v>5</v>
      </c>
      <c r="F28" s="264"/>
      <c r="G28" s="265" t="s">
        <v>5</v>
      </c>
      <c r="H28" s="266" t="s">
        <v>5</v>
      </c>
      <c r="K28" s="230"/>
    </row>
    <row r="29" spans="1:11" ht="12.75" customHeight="1">
      <c r="A29" s="241"/>
      <c r="B29" s="242" t="s">
        <v>155</v>
      </c>
      <c r="C29" s="264"/>
      <c r="D29" s="265" t="s">
        <v>7</v>
      </c>
      <c r="E29" s="266" t="s">
        <v>8</v>
      </c>
      <c r="F29" s="264"/>
      <c r="G29" s="265" t="s">
        <v>7</v>
      </c>
      <c r="H29" s="266" t="s">
        <v>8</v>
      </c>
      <c r="K29" s="230"/>
    </row>
    <row r="30" spans="1:11" ht="11.25">
      <c r="A30" s="245"/>
      <c r="B30" s="234"/>
      <c r="C30" s="267" t="s">
        <v>9</v>
      </c>
      <c r="D30" s="267" t="s">
        <v>10</v>
      </c>
      <c r="E30" s="268" t="s">
        <v>10</v>
      </c>
      <c r="F30" s="267" t="s">
        <v>9</v>
      </c>
      <c r="G30" s="267" t="s">
        <v>10</v>
      </c>
      <c r="H30" s="268" t="s">
        <v>10</v>
      </c>
      <c r="K30" s="230"/>
    </row>
    <row r="31" spans="1:11" ht="15.75" customHeight="1">
      <c r="A31" s="269" t="s">
        <v>11</v>
      </c>
      <c r="B31" s="270"/>
      <c r="C31" s="271">
        <v>211</v>
      </c>
      <c r="D31" s="272">
        <v>1</v>
      </c>
      <c r="E31" s="273"/>
      <c r="F31" s="271">
        <v>434</v>
      </c>
      <c r="G31" s="272">
        <v>1</v>
      </c>
      <c r="H31" s="274"/>
      <c r="K31" s="230"/>
    </row>
    <row r="32" spans="1:11" ht="11.25">
      <c r="A32" s="251" t="s">
        <v>250</v>
      </c>
      <c r="B32" s="252" t="s">
        <v>251</v>
      </c>
      <c r="C32" s="243"/>
      <c r="D32" s="275"/>
      <c r="E32" s="230"/>
      <c r="F32" s="243"/>
      <c r="G32" s="243"/>
      <c r="H32" s="230"/>
      <c r="K32" s="230"/>
    </row>
    <row r="33" spans="1:11" ht="11.25">
      <c r="A33" s="241"/>
      <c r="B33" s="252" t="s">
        <v>252</v>
      </c>
      <c r="C33" s="243"/>
      <c r="D33" s="275"/>
      <c r="E33" s="255"/>
      <c r="F33" s="243"/>
      <c r="G33" s="275"/>
      <c r="H33" s="255"/>
      <c r="K33" s="230"/>
    </row>
    <row r="34" spans="1:11" ht="11.25">
      <c r="A34" s="241"/>
      <c r="B34" s="252" t="s">
        <v>253</v>
      </c>
      <c r="C34" s="229">
        <v>36</v>
      </c>
      <c r="D34" s="275">
        <f aca="true" t="shared" si="4" ref="D34:D40">C34/totalm</f>
        <v>0.17061611374407584</v>
      </c>
      <c r="E34" s="255">
        <f aca="true" t="shared" si="5" ref="E34:E39">C34/(totalm-q13nm)</f>
        <v>0.17475728155339806</v>
      </c>
      <c r="F34" s="229">
        <v>62</v>
      </c>
      <c r="G34" s="275">
        <f aca="true" t="shared" si="6" ref="G34:G40">F34/totalf</f>
        <v>0.14285714285714285</v>
      </c>
      <c r="H34" s="255">
        <f aca="true" t="shared" si="7" ref="H34:H39">F34/(totalf-q13nf)</f>
        <v>0.14622641509433962</v>
      </c>
      <c r="K34" s="230"/>
    </row>
    <row r="35" spans="1:11" ht="11.25">
      <c r="A35" s="241"/>
      <c r="B35" s="252" t="s">
        <v>254</v>
      </c>
      <c r="C35" s="229">
        <v>103</v>
      </c>
      <c r="D35" s="275">
        <f t="shared" si="4"/>
        <v>0.4881516587677725</v>
      </c>
      <c r="E35" s="255">
        <f t="shared" si="5"/>
        <v>0.5</v>
      </c>
      <c r="F35" s="229">
        <v>235</v>
      </c>
      <c r="G35" s="275">
        <f t="shared" si="6"/>
        <v>0.5414746543778802</v>
      </c>
      <c r="H35" s="255">
        <f t="shared" si="7"/>
        <v>0.5542452830188679</v>
      </c>
      <c r="K35" s="230"/>
    </row>
    <row r="36" spans="1:11" ht="11.25">
      <c r="A36" s="241"/>
      <c r="B36" s="252" t="s">
        <v>255</v>
      </c>
      <c r="C36" s="229">
        <v>51</v>
      </c>
      <c r="D36" s="275">
        <f t="shared" si="4"/>
        <v>0.24170616113744076</v>
      </c>
      <c r="E36" s="255">
        <f t="shared" si="5"/>
        <v>0.24757281553398058</v>
      </c>
      <c r="F36" s="229">
        <v>84</v>
      </c>
      <c r="G36" s="275">
        <f t="shared" si="6"/>
        <v>0.1935483870967742</v>
      </c>
      <c r="H36" s="255">
        <f t="shared" si="7"/>
        <v>0.19811320754716982</v>
      </c>
      <c r="K36" s="230"/>
    </row>
    <row r="37" spans="1:11" ht="11.25">
      <c r="A37" s="241"/>
      <c r="B37" s="252" t="s">
        <v>256</v>
      </c>
      <c r="C37" s="229">
        <v>13</v>
      </c>
      <c r="D37" s="275">
        <f t="shared" si="4"/>
        <v>0.061611374407582936</v>
      </c>
      <c r="E37" s="255">
        <f t="shared" si="5"/>
        <v>0.06310679611650485</v>
      </c>
      <c r="F37" s="229">
        <v>32</v>
      </c>
      <c r="G37" s="275">
        <f t="shared" si="6"/>
        <v>0.07373271889400922</v>
      </c>
      <c r="H37" s="255">
        <f t="shared" si="7"/>
        <v>0.07547169811320754</v>
      </c>
      <c r="K37" s="230"/>
    </row>
    <row r="38" spans="1:11" ht="11.25">
      <c r="A38" s="241"/>
      <c r="B38" s="252" t="s">
        <v>257</v>
      </c>
      <c r="C38" s="229">
        <v>3</v>
      </c>
      <c r="D38" s="275">
        <f t="shared" si="4"/>
        <v>0.014218009478672985</v>
      </c>
      <c r="E38" s="255">
        <f t="shared" si="5"/>
        <v>0.014563106796116505</v>
      </c>
      <c r="F38" s="229">
        <v>4</v>
      </c>
      <c r="G38" s="275">
        <f t="shared" si="6"/>
        <v>0.009216589861751152</v>
      </c>
      <c r="H38" s="255">
        <f t="shared" si="7"/>
        <v>0.009433962264150943</v>
      </c>
      <c r="K38" s="230"/>
    </row>
    <row r="39" spans="1:11" ht="11.25">
      <c r="A39" s="241"/>
      <c r="B39" s="252" t="s">
        <v>258</v>
      </c>
      <c r="C39" s="229">
        <v>0</v>
      </c>
      <c r="D39" s="275">
        <f t="shared" si="4"/>
        <v>0</v>
      </c>
      <c r="E39" s="255">
        <f t="shared" si="5"/>
        <v>0</v>
      </c>
      <c r="F39" s="229">
        <v>7</v>
      </c>
      <c r="G39" s="275">
        <f t="shared" si="6"/>
        <v>0.016129032258064516</v>
      </c>
      <c r="H39" s="255">
        <f t="shared" si="7"/>
        <v>0.01650943396226415</v>
      </c>
      <c r="K39" s="230"/>
    </row>
    <row r="40" spans="1:11" ht="11.25">
      <c r="A40" s="245"/>
      <c r="B40" s="248" t="s">
        <v>18</v>
      </c>
      <c r="C40" s="232">
        <v>5</v>
      </c>
      <c r="D40" s="249">
        <f t="shared" si="4"/>
        <v>0.023696682464454975</v>
      </c>
      <c r="E40" s="247" t="s">
        <v>19</v>
      </c>
      <c r="F40" s="232">
        <v>10</v>
      </c>
      <c r="G40" s="249">
        <f t="shared" si="6"/>
        <v>0.02304147465437788</v>
      </c>
      <c r="H40" s="247" t="s">
        <v>19</v>
      </c>
      <c r="I40" s="245"/>
      <c r="J40" s="233"/>
      <c r="K40" s="234"/>
    </row>
    <row r="41" spans="1:11" ht="12.75">
      <c r="A41" s="221" t="s">
        <v>0</v>
      </c>
      <c r="B41" s="222"/>
      <c r="C41" s="223"/>
      <c r="D41" s="276"/>
      <c r="E41" s="276"/>
      <c r="F41" s="224"/>
      <c r="G41" s="277"/>
      <c r="H41" s="277"/>
      <c r="I41" s="222"/>
      <c r="J41" s="222"/>
      <c r="K41" s="225" t="s">
        <v>262</v>
      </c>
    </row>
    <row r="42" spans="1:11" ht="12.75">
      <c r="A42" s="227" t="s">
        <v>2</v>
      </c>
      <c r="C42" s="228"/>
      <c r="D42" s="228"/>
      <c r="E42" s="228"/>
      <c r="F42" s="229"/>
      <c r="G42" s="243"/>
      <c r="H42" s="243"/>
      <c r="I42" s="243"/>
      <c r="J42" s="243"/>
      <c r="K42" s="230"/>
    </row>
    <row r="43" spans="1:11" ht="12.75">
      <c r="A43" s="6" t="s">
        <v>248</v>
      </c>
      <c r="C43" s="228"/>
      <c r="D43" s="228"/>
      <c r="E43" s="228"/>
      <c r="F43" s="229"/>
      <c r="G43" s="243"/>
      <c r="H43" s="243"/>
      <c r="I43" s="243"/>
      <c r="J43" s="243"/>
      <c r="K43" s="230"/>
    </row>
    <row r="44" spans="1:11" ht="12.75">
      <c r="A44" s="231" t="s">
        <v>249</v>
      </c>
      <c r="C44" s="232"/>
      <c r="D44" s="232"/>
      <c r="E44" s="232"/>
      <c r="F44" s="232"/>
      <c r="G44" s="233"/>
      <c r="H44" s="233"/>
      <c r="I44" s="233"/>
      <c r="J44" s="233"/>
      <c r="K44" s="234"/>
    </row>
    <row r="45" spans="1:11" ht="17.25" customHeight="1">
      <c r="A45" s="258"/>
      <c r="B45" s="259"/>
      <c r="C45" s="260" t="s">
        <v>153</v>
      </c>
      <c r="D45" s="261"/>
      <c r="E45" s="262"/>
      <c r="F45" s="260" t="s">
        <v>154</v>
      </c>
      <c r="G45" s="260"/>
      <c r="H45" s="263"/>
      <c r="K45" s="230"/>
    </row>
    <row r="46" spans="1:11" ht="17.25" customHeight="1">
      <c r="A46" s="241"/>
      <c r="B46" s="230"/>
      <c r="C46" s="264"/>
      <c r="D46" s="265" t="s">
        <v>5</v>
      </c>
      <c r="E46" s="266" t="s">
        <v>5</v>
      </c>
      <c r="F46" s="264"/>
      <c r="G46" s="265" t="s">
        <v>5</v>
      </c>
      <c r="H46" s="266" t="s">
        <v>5</v>
      </c>
      <c r="K46" s="230"/>
    </row>
    <row r="47" spans="1:11" ht="12.75" customHeight="1">
      <c r="A47" s="241"/>
      <c r="B47" s="242" t="s">
        <v>155</v>
      </c>
      <c r="C47" s="264"/>
      <c r="D47" s="265" t="s">
        <v>7</v>
      </c>
      <c r="E47" s="266" t="s">
        <v>8</v>
      </c>
      <c r="F47" s="264"/>
      <c r="G47" s="265" t="s">
        <v>7</v>
      </c>
      <c r="H47" s="266" t="s">
        <v>8</v>
      </c>
      <c r="K47" s="230"/>
    </row>
    <row r="48" spans="1:11" ht="11.25">
      <c r="A48" s="245"/>
      <c r="B48" s="234"/>
      <c r="C48" s="267" t="s">
        <v>9</v>
      </c>
      <c r="D48" s="267" t="s">
        <v>10</v>
      </c>
      <c r="E48" s="268" t="s">
        <v>10</v>
      </c>
      <c r="F48" s="267" t="s">
        <v>9</v>
      </c>
      <c r="G48" s="267" t="s">
        <v>10</v>
      </c>
      <c r="H48" s="268" t="s">
        <v>10</v>
      </c>
      <c r="K48" s="230"/>
    </row>
    <row r="49" spans="1:11" ht="11.25">
      <c r="A49" s="251" t="s">
        <v>259</v>
      </c>
      <c r="B49" s="252" t="s">
        <v>263</v>
      </c>
      <c r="C49" s="243"/>
      <c r="D49" s="278"/>
      <c r="E49" s="257"/>
      <c r="F49" s="243"/>
      <c r="G49" s="278"/>
      <c r="H49" s="257"/>
      <c r="K49" s="230"/>
    </row>
    <row r="50" spans="1:11" ht="11.25">
      <c r="A50" s="241"/>
      <c r="B50" s="252" t="s">
        <v>261</v>
      </c>
      <c r="C50" s="229"/>
      <c r="D50" s="243"/>
      <c r="E50" s="230"/>
      <c r="F50" s="243"/>
      <c r="G50" s="243"/>
      <c r="H50" s="230"/>
      <c r="K50" s="230"/>
    </row>
    <row r="51" spans="1:11" ht="11.25">
      <c r="A51" s="241"/>
      <c r="B51" s="252" t="s">
        <v>253</v>
      </c>
      <c r="C51" s="243">
        <v>30</v>
      </c>
      <c r="D51" s="275">
        <f aca="true" t="shared" si="8" ref="D51:D57">C51/totalm</f>
        <v>0.14218009478672985</v>
      </c>
      <c r="E51" s="255">
        <f aca="true" t="shared" si="9" ref="E51:E56">C51/(totalm-q14nm)</f>
        <v>0.14563106796116504</v>
      </c>
      <c r="F51" s="243">
        <v>117</v>
      </c>
      <c r="G51" s="275">
        <f aca="true" t="shared" si="10" ref="G51:G57">F51/totalf</f>
        <v>0.2695852534562212</v>
      </c>
      <c r="H51" s="255">
        <f aca="true" t="shared" si="11" ref="H51:H56">F51/(totalf-q14nf)</f>
        <v>0.2765957446808511</v>
      </c>
      <c r="K51" s="230"/>
    </row>
    <row r="52" spans="1:11" ht="11.25">
      <c r="A52" s="241"/>
      <c r="B52" s="252" t="s">
        <v>254</v>
      </c>
      <c r="C52" s="243">
        <v>111</v>
      </c>
      <c r="D52" s="275">
        <f t="shared" si="8"/>
        <v>0.5260663507109005</v>
      </c>
      <c r="E52" s="255">
        <f t="shared" si="9"/>
        <v>0.5388349514563107</v>
      </c>
      <c r="F52" s="243">
        <v>207</v>
      </c>
      <c r="G52" s="275">
        <f t="shared" si="10"/>
        <v>0.4769585253456221</v>
      </c>
      <c r="H52" s="255">
        <f t="shared" si="11"/>
        <v>0.48936170212765956</v>
      </c>
      <c r="K52" s="230"/>
    </row>
    <row r="53" spans="1:11" ht="11.25">
      <c r="A53" s="241"/>
      <c r="B53" s="252" t="s">
        <v>255</v>
      </c>
      <c r="C53" s="243">
        <v>41</v>
      </c>
      <c r="D53" s="275">
        <f t="shared" si="8"/>
        <v>0.1943127962085308</v>
      </c>
      <c r="E53" s="255">
        <f t="shared" si="9"/>
        <v>0.19902912621359223</v>
      </c>
      <c r="F53" s="243">
        <v>74</v>
      </c>
      <c r="G53" s="275">
        <f t="shared" si="10"/>
        <v>0.17050691244239632</v>
      </c>
      <c r="H53" s="255">
        <f t="shared" si="11"/>
        <v>0.17494089834515367</v>
      </c>
      <c r="K53" s="230"/>
    </row>
    <row r="54" spans="1:11" ht="11.25">
      <c r="A54" s="241"/>
      <c r="B54" s="252" t="s">
        <v>256</v>
      </c>
      <c r="C54" s="243">
        <v>18</v>
      </c>
      <c r="D54" s="275">
        <f t="shared" si="8"/>
        <v>0.08530805687203792</v>
      </c>
      <c r="E54" s="255">
        <f t="shared" si="9"/>
        <v>0.08737864077669903</v>
      </c>
      <c r="F54" s="243">
        <v>19</v>
      </c>
      <c r="G54" s="275">
        <f t="shared" si="10"/>
        <v>0.04377880184331797</v>
      </c>
      <c r="H54" s="255">
        <f t="shared" si="11"/>
        <v>0.04491725768321513</v>
      </c>
      <c r="K54" s="230"/>
    </row>
    <row r="55" spans="1:11" ht="11.25">
      <c r="A55" s="241"/>
      <c r="B55" s="252" t="s">
        <v>257</v>
      </c>
      <c r="C55" s="243">
        <v>5</v>
      </c>
      <c r="D55" s="275">
        <f t="shared" si="8"/>
        <v>0.023696682464454975</v>
      </c>
      <c r="E55" s="255">
        <f t="shared" si="9"/>
        <v>0.024271844660194174</v>
      </c>
      <c r="F55" s="243">
        <v>3</v>
      </c>
      <c r="G55" s="275">
        <f t="shared" si="10"/>
        <v>0.0069124423963133645</v>
      </c>
      <c r="H55" s="255">
        <f t="shared" si="11"/>
        <v>0.0070921985815602835</v>
      </c>
      <c r="K55" s="230"/>
    </row>
    <row r="56" spans="1:11" ht="11.25">
      <c r="A56" s="241"/>
      <c r="B56" s="252" t="s">
        <v>258</v>
      </c>
      <c r="C56" s="243">
        <v>1</v>
      </c>
      <c r="D56" s="275">
        <f t="shared" si="8"/>
        <v>0.004739336492890996</v>
      </c>
      <c r="E56" s="255">
        <f t="shared" si="9"/>
        <v>0.0048543689320388345</v>
      </c>
      <c r="F56" s="243">
        <v>3</v>
      </c>
      <c r="G56" s="275">
        <f t="shared" si="10"/>
        <v>0.0069124423963133645</v>
      </c>
      <c r="H56" s="255">
        <f t="shared" si="11"/>
        <v>0.0070921985815602835</v>
      </c>
      <c r="K56" s="230"/>
    </row>
    <row r="57" spans="1:11" ht="11.25">
      <c r="A57" s="245"/>
      <c r="B57" s="248" t="s">
        <v>18</v>
      </c>
      <c r="C57" s="233">
        <v>5</v>
      </c>
      <c r="D57" s="249">
        <f t="shared" si="8"/>
        <v>0.023696682464454975</v>
      </c>
      <c r="E57" s="247" t="s">
        <v>19</v>
      </c>
      <c r="F57" s="233">
        <v>11</v>
      </c>
      <c r="G57" s="249">
        <f t="shared" si="10"/>
        <v>0.02534562211981567</v>
      </c>
      <c r="H57" s="247" t="s">
        <v>19</v>
      </c>
      <c r="I57" s="233"/>
      <c r="J57" s="233"/>
      <c r="K57" s="234"/>
    </row>
    <row r="58" spans="1:11" ht="15.75" customHeight="1">
      <c r="A58" s="235"/>
      <c r="B58" s="279"/>
      <c r="C58" s="280" t="s">
        <v>185</v>
      </c>
      <c r="D58" s="281"/>
      <c r="E58" s="282"/>
      <c r="F58" s="283" t="s">
        <v>186</v>
      </c>
      <c r="G58" s="261"/>
      <c r="H58" s="262"/>
      <c r="I58" s="283" t="s">
        <v>187</v>
      </c>
      <c r="J58" s="260"/>
      <c r="K58" s="263"/>
    </row>
    <row r="59" spans="1:11" ht="11.25">
      <c r="A59" s="241"/>
      <c r="B59" s="230"/>
      <c r="C59" s="284"/>
      <c r="D59" s="285" t="s">
        <v>5</v>
      </c>
      <c r="E59" s="266" t="s">
        <v>5</v>
      </c>
      <c r="F59" s="285"/>
      <c r="G59" s="285" t="s">
        <v>5</v>
      </c>
      <c r="H59" s="266" t="s">
        <v>5</v>
      </c>
      <c r="I59" s="285"/>
      <c r="J59" s="285" t="s">
        <v>5</v>
      </c>
      <c r="K59" s="266" t="s">
        <v>5</v>
      </c>
    </row>
    <row r="60" spans="1:15" ht="11.25">
      <c r="A60" s="286" t="s">
        <v>264</v>
      </c>
      <c r="B60" s="230"/>
      <c r="C60" s="285"/>
      <c r="D60" s="285" t="s">
        <v>7</v>
      </c>
      <c r="E60" s="266" t="s">
        <v>8</v>
      </c>
      <c r="F60" s="285"/>
      <c r="G60" s="285" t="s">
        <v>7</v>
      </c>
      <c r="H60" s="266" t="s">
        <v>8</v>
      </c>
      <c r="I60" s="285"/>
      <c r="J60" s="285" t="s">
        <v>7</v>
      </c>
      <c r="K60" s="266" t="s">
        <v>8</v>
      </c>
      <c r="M60" s="253"/>
      <c r="N60" s="239"/>
      <c r="O60" s="239"/>
    </row>
    <row r="61" spans="1:15" ht="11.25">
      <c r="A61" s="245"/>
      <c r="B61" s="234"/>
      <c r="C61" s="267" t="s">
        <v>9</v>
      </c>
      <c r="D61" s="267" t="s">
        <v>10</v>
      </c>
      <c r="E61" s="268" t="s">
        <v>10</v>
      </c>
      <c r="F61" s="267" t="s">
        <v>9</v>
      </c>
      <c r="G61" s="267" t="s">
        <v>10</v>
      </c>
      <c r="H61" s="268" t="s">
        <v>10</v>
      </c>
      <c r="I61" s="267" t="s">
        <v>9</v>
      </c>
      <c r="J61" s="267" t="s">
        <v>10</v>
      </c>
      <c r="K61" s="268" t="s">
        <v>10</v>
      </c>
      <c r="N61" s="239"/>
      <c r="O61" s="239"/>
    </row>
    <row r="62" spans="1:15" ht="15.75" customHeight="1">
      <c r="A62" s="269" t="s">
        <v>11</v>
      </c>
      <c r="B62" s="270"/>
      <c r="C62" s="287">
        <v>582</v>
      </c>
      <c r="D62" s="288">
        <v>1</v>
      </c>
      <c r="E62" s="287"/>
      <c r="F62" s="289">
        <v>41</v>
      </c>
      <c r="G62" s="288">
        <v>1</v>
      </c>
      <c r="H62" s="290"/>
      <c r="I62" s="287">
        <v>22</v>
      </c>
      <c r="J62" s="288">
        <v>1</v>
      </c>
      <c r="K62" s="290"/>
      <c r="N62" s="239"/>
      <c r="O62" s="239"/>
    </row>
    <row r="63" spans="1:11" ht="11.25">
      <c r="A63" s="251" t="s">
        <v>250</v>
      </c>
      <c r="B63" s="252" t="s">
        <v>251</v>
      </c>
      <c r="D63" s="254"/>
      <c r="F63" s="241"/>
      <c r="G63" s="243"/>
      <c r="H63" s="230"/>
      <c r="K63" s="230"/>
    </row>
    <row r="64" spans="1:11" ht="11.25">
      <c r="A64" s="241"/>
      <c r="B64" s="252" t="s">
        <v>252</v>
      </c>
      <c r="D64" s="254"/>
      <c r="E64" s="254"/>
      <c r="F64" s="241"/>
      <c r="G64" s="275"/>
      <c r="H64" s="255"/>
      <c r="J64" s="254"/>
      <c r="K64" s="255"/>
    </row>
    <row r="65" spans="1:11" ht="11.25">
      <c r="A65" s="241"/>
      <c r="B65" s="252" t="s">
        <v>253</v>
      </c>
      <c r="C65" s="253">
        <v>90</v>
      </c>
      <c r="D65" s="254">
        <f aca="true" t="shared" si="12" ref="D65:D71">C65/totalw</f>
        <v>0.15463917525773196</v>
      </c>
      <c r="E65" s="254">
        <f aca="true" t="shared" si="13" ref="E65:E70">C65/(totalw-q13nw)</f>
        <v>0.15845070422535212</v>
      </c>
      <c r="F65" s="251">
        <v>6</v>
      </c>
      <c r="G65" s="275">
        <f aca="true" t="shared" si="14" ref="G65:G71">F65/totalb</f>
        <v>0.14634146341463414</v>
      </c>
      <c r="H65" s="255">
        <f aca="true" t="shared" si="15" ref="H65:H70">F65/(totalb-q13nb)</f>
        <v>0.14634146341463414</v>
      </c>
      <c r="I65" s="253">
        <v>2</v>
      </c>
      <c r="J65" s="254">
        <f aca="true" t="shared" si="16" ref="J65:J71">I65/totalo</f>
        <v>0.09090909090909091</v>
      </c>
      <c r="K65" s="255">
        <f aca="true" t="shared" si="17" ref="K65:K70">I65/(totalo-q13no)</f>
        <v>0.09523809523809523</v>
      </c>
    </row>
    <row r="66" spans="1:11" ht="11.25">
      <c r="A66" s="241"/>
      <c r="B66" s="252" t="s">
        <v>254</v>
      </c>
      <c r="C66" s="253">
        <v>303</v>
      </c>
      <c r="D66" s="254">
        <f t="shared" si="12"/>
        <v>0.520618556701031</v>
      </c>
      <c r="E66" s="254">
        <f t="shared" si="13"/>
        <v>0.5334507042253521</v>
      </c>
      <c r="F66" s="251">
        <v>21</v>
      </c>
      <c r="G66" s="275">
        <f t="shared" si="14"/>
        <v>0.5121951219512195</v>
      </c>
      <c r="H66" s="255">
        <f t="shared" si="15"/>
        <v>0.5121951219512195</v>
      </c>
      <c r="I66" s="253">
        <v>14</v>
      </c>
      <c r="J66" s="254">
        <f t="shared" si="16"/>
        <v>0.6363636363636364</v>
      </c>
      <c r="K66" s="255">
        <f t="shared" si="17"/>
        <v>0.6666666666666666</v>
      </c>
    </row>
    <row r="67" spans="1:11" ht="11.25">
      <c r="A67" s="241"/>
      <c r="B67" s="252" t="s">
        <v>255</v>
      </c>
      <c r="C67" s="253">
        <v>121</v>
      </c>
      <c r="D67" s="254">
        <f t="shared" si="12"/>
        <v>0.20790378006872853</v>
      </c>
      <c r="E67" s="254">
        <f t="shared" si="13"/>
        <v>0.2130281690140845</v>
      </c>
      <c r="F67" s="251">
        <v>10</v>
      </c>
      <c r="G67" s="275">
        <f t="shared" si="14"/>
        <v>0.24390243902439024</v>
      </c>
      <c r="H67" s="255">
        <f t="shared" si="15"/>
        <v>0.24390243902439024</v>
      </c>
      <c r="I67" s="253">
        <v>4</v>
      </c>
      <c r="J67" s="254">
        <f t="shared" si="16"/>
        <v>0.18181818181818182</v>
      </c>
      <c r="K67" s="255">
        <f t="shared" si="17"/>
        <v>0.19047619047619047</v>
      </c>
    </row>
    <row r="68" spans="1:11" ht="11.25">
      <c r="A68" s="241"/>
      <c r="B68" s="252" t="s">
        <v>256</v>
      </c>
      <c r="C68" s="253">
        <v>42</v>
      </c>
      <c r="D68" s="254">
        <f t="shared" si="12"/>
        <v>0.07216494845360824</v>
      </c>
      <c r="E68" s="254">
        <f t="shared" si="13"/>
        <v>0.07394366197183098</v>
      </c>
      <c r="F68" s="251">
        <v>2</v>
      </c>
      <c r="G68" s="275">
        <f t="shared" si="14"/>
        <v>0.04878048780487805</v>
      </c>
      <c r="H68" s="255">
        <f t="shared" si="15"/>
        <v>0.04878048780487805</v>
      </c>
      <c r="I68" s="253">
        <v>1</v>
      </c>
      <c r="J68" s="254">
        <f t="shared" si="16"/>
        <v>0.045454545454545456</v>
      </c>
      <c r="K68" s="255">
        <f t="shared" si="17"/>
        <v>0.047619047619047616</v>
      </c>
    </row>
    <row r="69" spans="1:11" ht="11.25">
      <c r="A69" s="241"/>
      <c r="B69" s="252" t="s">
        <v>257</v>
      </c>
      <c r="C69" s="253">
        <v>6</v>
      </c>
      <c r="D69" s="254">
        <f t="shared" si="12"/>
        <v>0.010309278350515464</v>
      </c>
      <c r="E69" s="254">
        <f t="shared" si="13"/>
        <v>0.01056338028169014</v>
      </c>
      <c r="F69" s="251">
        <v>1</v>
      </c>
      <c r="G69" s="275">
        <f t="shared" si="14"/>
        <v>0.024390243902439025</v>
      </c>
      <c r="H69" s="255">
        <f t="shared" si="15"/>
        <v>0.024390243902439025</v>
      </c>
      <c r="I69" s="253">
        <v>0</v>
      </c>
      <c r="J69" s="254">
        <f t="shared" si="16"/>
        <v>0</v>
      </c>
      <c r="K69" s="255">
        <f t="shared" si="17"/>
        <v>0</v>
      </c>
    </row>
    <row r="70" spans="1:11" ht="11.25">
      <c r="A70" s="241"/>
      <c r="B70" s="252" t="s">
        <v>258</v>
      </c>
      <c r="C70" s="253">
        <v>6</v>
      </c>
      <c r="D70" s="254">
        <f t="shared" si="12"/>
        <v>0.010309278350515464</v>
      </c>
      <c r="E70" s="254">
        <f t="shared" si="13"/>
        <v>0.01056338028169014</v>
      </c>
      <c r="F70" s="251">
        <v>1</v>
      </c>
      <c r="G70" s="275">
        <f t="shared" si="14"/>
        <v>0.024390243902439025</v>
      </c>
      <c r="H70" s="255">
        <f t="shared" si="15"/>
        <v>0.024390243902439025</v>
      </c>
      <c r="I70" s="253">
        <v>0</v>
      </c>
      <c r="J70" s="254">
        <f t="shared" si="16"/>
        <v>0</v>
      </c>
      <c r="K70" s="255">
        <f t="shared" si="17"/>
        <v>0</v>
      </c>
    </row>
    <row r="71" spans="1:11" ht="11.25">
      <c r="A71" s="245"/>
      <c r="B71" s="248" t="s">
        <v>18</v>
      </c>
      <c r="C71" s="232">
        <v>14</v>
      </c>
      <c r="D71" s="249">
        <f t="shared" si="12"/>
        <v>0.024054982817869417</v>
      </c>
      <c r="E71" s="246" t="s">
        <v>19</v>
      </c>
      <c r="F71" s="291">
        <v>0</v>
      </c>
      <c r="G71" s="249">
        <f t="shared" si="14"/>
        <v>0</v>
      </c>
      <c r="H71" s="247" t="s">
        <v>19</v>
      </c>
      <c r="I71" s="232">
        <v>1</v>
      </c>
      <c r="J71" s="249">
        <f t="shared" si="16"/>
        <v>0.045454545454545456</v>
      </c>
      <c r="K71" s="247" t="s">
        <v>19</v>
      </c>
    </row>
    <row r="72" spans="1:11" ht="11.25">
      <c r="A72" s="251" t="s">
        <v>259</v>
      </c>
      <c r="B72" s="252" t="s">
        <v>263</v>
      </c>
      <c r="D72" s="292"/>
      <c r="E72" s="292"/>
      <c r="F72" s="241"/>
      <c r="G72" s="278"/>
      <c r="H72" s="257"/>
      <c r="J72" s="292"/>
      <c r="K72" s="257"/>
    </row>
    <row r="73" spans="1:11" ht="11.25">
      <c r="A73" s="241"/>
      <c r="B73" s="252" t="s">
        <v>261</v>
      </c>
      <c r="C73" s="253"/>
      <c r="F73" s="241"/>
      <c r="G73" s="243"/>
      <c r="H73" s="230"/>
      <c r="K73" s="230"/>
    </row>
    <row r="74" spans="1:11" ht="11.25">
      <c r="A74" s="241"/>
      <c r="B74" s="252" t="s">
        <v>253</v>
      </c>
      <c r="C74" s="226">
        <v>132</v>
      </c>
      <c r="D74" s="254">
        <f aca="true" t="shared" si="18" ref="D74:D80">C74/totalw</f>
        <v>0.2268041237113402</v>
      </c>
      <c r="E74" s="254">
        <f aca="true" t="shared" si="19" ref="E74:E79">C74/(totalw-q14nw)</f>
        <v>0.2328042328042328</v>
      </c>
      <c r="F74" s="241">
        <v>9</v>
      </c>
      <c r="G74" s="275">
        <f aca="true" t="shared" si="20" ref="G74:G80">F74/totalb</f>
        <v>0.21951219512195122</v>
      </c>
      <c r="H74" s="255">
        <f aca="true" t="shared" si="21" ref="H74:H79">F74/(totalb-q14nb)</f>
        <v>0.21951219512195122</v>
      </c>
      <c r="I74" s="226">
        <v>6</v>
      </c>
      <c r="J74" s="254">
        <f aca="true" t="shared" si="22" ref="J74:J80">I74/totalo</f>
        <v>0.2727272727272727</v>
      </c>
      <c r="K74" s="255">
        <f aca="true" t="shared" si="23" ref="K74:K79">I74/(totalo-q14no)</f>
        <v>0.2857142857142857</v>
      </c>
    </row>
    <row r="75" spans="1:11" ht="11.25">
      <c r="A75" s="241"/>
      <c r="B75" s="252" t="s">
        <v>254</v>
      </c>
      <c r="C75" s="226">
        <v>286</v>
      </c>
      <c r="D75" s="254">
        <f t="shared" si="18"/>
        <v>0.49140893470790376</v>
      </c>
      <c r="E75" s="254">
        <f t="shared" si="19"/>
        <v>0.5044091710758377</v>
      </c>
      <c r="F75" s="241">
        <v>22</v>
      </c>
      <c r="G75" s="275">
        <f t="shared" si="20"/>
        <v>0.5365853658536586</v>
      </c>
      <c r="H75" s="255">
        <f t="shared" si="21"/>
        <v>0.5365853658536586</v>
      </c>
      <c r="I75" s="226">
        <v>10</v>
      </c>
      <c r="J75" s="254">
        <f t="shared" si="22"/>
        <v>0.45454545454545453</v>
      </c>
      <c r="K75" s="255">
        <f t="shared" si="23"/>
        <v>0.47619047619047616</v>
      </c>
    </row>
    <row r="76" spans="1:11" ht="11.25">
      <c r="A76" s="241"/>
      <c r="B76" s="252" t="s">
        <v>255</v>
      </c>
      <c r="C76" s="226">
        <v>105</v>
      </c>
      <c r="D76" s="254">
        <f t="shared" si="18"/>
        <v>0.18041237113402062</v>
      </c>
      <c r="E76" s="254">
        <f t="shared" si="19"/>
        <v>0.18518518518518517</v>
      </c>
      <c r="F76" s="241">
        <v>8</v>
      </c>
      <c r="G76" s="275">
        <f t="shared" si="20"/>
        <v>0.1951219512195122</v>
      </c>
      <c r="H76" s="255">
        <f t="shared" si="21"/>
        <v>0.1951219512195122</v>
      </c>
      <c r="I76" s="226">
        <v>2</v>
      </c>
      <c r="J76" s="254">
        <f t="shared" si="22"/>
        <v>0.09090909090909091</v>
      </c>
      <c r="K76" s="255">
        <f t="shared" si="23"/>
        <v>0.09523809523809523</v>
      </c>
    </row>
    <row r="77" spans="1:11" ht="11.25">
      <c r="A77" s="241"/>
      <c r="B77" s="252" t="s">
        <v>256</v>
      </c>
      <c r="C77" s="226">
        <v>35</v>
      </c>
      <c r="D77" s="254">
        <f t="shared" si="18"/>
        <v>0.06013745704467354</v>
      </c>
      <c r="E77" s="254">
        <f t="shared" si="19"/>
        <v>0.06172839506172839</v>
      </c>
      <c r="F77" s="241">
        <v>1</v>
      </c>
      <c r="G77" s="275">
        <f t="shared" si="20"/>
        <v>0.024390243902439025</v>
      </c>
      <c r="H77" s="255">
        <f t="shared" si="21"/>
        <v>0.024390243902439025</v>
      </c>
      <c r="I77" s="226">
        <v>1</v>
      </c>
      <c r="J77" s="254">
        <f t="shared" si="22"/>
        <v>0.045454545454545456</v>
      </c>
      <c r="K77" s="255">
        <f t="shared" si="23"/>
        <v>0.047619047619047616</v>
      </c>
    </row>
    <row r="78" spans="1:11" ht="11.25">
      <c r="A78" s="241"/>
      <c r="B78" s="252" t="s">
        <v>257</v>
      </c>
      <c r="C78" s="226">
        <v>6</v>
      </c>
      <c r="D78" s="254">
        <f t="shared" si="18"/>
        <v>0.010309278350515464</v>
      </c>
      <c r="E78" s="254">
        <f t="shared" si="19"/>
        <v>0.010582010582010581</v>
      </c>
      <c r="F78" s="241">
        <v>1</v>
      </c>
      <c r="G78" s="275">
        <f t="shared" si="20"/>
        <v>0.024390243902439025</v>
      </c>
      <c r="H78" s="255">
        <f t="shared" si="21"/>
        <v>0.024390243902439025</v>
      </c>
      <c r="I78" s="226">
        <v>1</v>
      </c>
      <c r="J78" s="254">
        <f t="shared" si="22"/>
        <v>0.045454545454545456</v>
      </c>
      <c r="K78" s="255">
        <f t="shared" si="23"/>
        <v>0.047619047619047616</v>
      </c>
    </row>
    <row r="79" spans="1:11" ht="11.25">
      <c r="A79" s="241"/>
      <c r="B79" s="252" t="s">
        <v>258</v>
      </c>
      <c r="C79" s="226">
        <v>3</v>
      </c>
      <c r="D79" s="254">
        <f t="shared" si="18"/>
        <v>0.005154639175257732</v>
      </c>
      <c r="E79" s="254">
        <f t="shared" si="19"/>
        <v>0.005291005291005291</v>
      </c>
      <c r="F79" s="241">
        <v>0</v>
      </c>
      <c r="G79" s="275">
        <f t="shared" si="20"/>
        <v>0</v>
      </c>
      <c r="H79" s="255">
        <f t="shared" si="21"/>
        <v>0</v>
      </c>
      <c r="I79" s="226">
        <v>1</v>
      </c>
      <c r="J79" s="254">
        <f t="shared" si="22"/>
        <v>0.045454545454545456</v>
      </c>
      <c r="K79" s="255">
        <f t="shared" si="23"/>
        <v>0.047619047619047616</v>
      </c>
    </row>
    <row r="80" spans="1:11" ht="11.25">
      <c r="A80" s="245"/>
      <c r="B80" s="248" t="s">
        <v>18</v>
      </c>
      <c r="C80" s="233">
        <v>15</v>
      </c>
      <c r="D80" s="249">
        <f t="shared" si="18"/>
        <v>0.02577319587628866</v>
      </c>
      <c r="E80" s="246" t="s">
        <v>19</v>
      </c>
      <c r="F80" s="245">
        <v>0</v>
      </c>
      <c r="G80" s="249">
        <f t="shared" si="20"/>
        <v>0</v>
      </c>
      <c r="H80" s="247" t="s">
        <v>19</v>
      </c>
      <c r="I80" s="233">
        <v>1</v>
      </c>
      <c r="J80" s="249">
        <f t="shared" si="22"/>
        <v>0.045454545454545456</v>
      </c>
      <c r="K80" s="247" t="s">
        <v>19</v>
      </c>
    </row>
    <row r="81" spans="1:11" ht="11.25">
      <c r="A81" s="241" t="s">
        <v>265</v>
      </c>
      <c r="D81" s="254"/>
      <c r="E81" s="254"/>
      <c r="G81" s="254"/>
      <c r="H81" s="254"/>
      <c r="J81" s="254"/>
      <c r="K81" s="255"/>
    </row>
    <row r="82" spans="1:11" ht="11.25">
      <c r="A82" s="293" t="s">
        <v>266</v>
      </c>
      <c r="B82" s="294"/>
      <c r="C82" s="233"/>
      <c r="D82" s="249"/>
      <c r="E82" s="249"/>
      <c r="F82" s="233"/>
      <c r="G82" s="249"/>
      <c r="H82" s="249"/>
      <c r="I82" s="233"/>
      <c r="J82" s="249"/>
      <c r="K82" s="250"/>
    </row>
    <row r="83" spans="4:11" ht="11.25">
      <c r="D83" s="254"/>
      <c r="E83" s="239"/>
      <c r="G83" s="254"/>
      <c r="H83" s="239"/>
      <c r="J83" s="254"/>
      <c r="K83" s="239"/>
    </row>
    <row r="86" spans="4:11" ht="11.25">
      <c r="D86" s="254"/>
      <c r="E86" s="254"/>
      <c r="G86" s="254"/>
      <c r="H86" s="254"/>
      <c r="J86" s="254"/>
      <c r="K86" s="254"/>
    </row>
    <row r="87" spans="4:11" ht="11.25">
      <c r="D87" s="254"/>
      <c r="E87" s="254"/>
      <c r="G87" s="254"/>
      <c r="H87" s="254"/>
      <c r="J87" s="254"/>
      <c r="K87" s="254"/>
    </row>
    <row r="88" spans="4:11" ht="11.25">
      <c r="D88" s="254"/>
      <c r="E88" s="254"/>
      <c r="G88" s="254"/>
      <c r="H88" s="254"/>
      <c r="J88" s="254"/>
      <c r="K88" s="254"/>
    </row>
    <row r="89" spans="4:11" ht="11.25">
      <c r="D89" s="254"/>
      <c r="E89" s="239"/>
      <c r="G89" s="254"/>
      <c r="H89" s="239"/>
      <c r="J89" s="254"/>
      <c r="K89" s="239"/>
    </row>
    <row r="92" spans="4:11" ht="11.25">
      <c r="D92" s="254"/>
      <c r="E92" s="254"/>
      <c r="G92" s="254"/>
      <c r="H92" s="254"/>
      <c r="J92" s="254"/>
      <c r="K92" s="254"/>
    </row>
    <row r="93" spans="4:11" ht="11.25">
      <c r="D93" s="254"/>
      <c r="E93" s="254"/>
      <c r="G93" s="254"/>
      <c r="H93" s="254"/>
      <c r="J93" s="254"/>
      <c r="K93" s="254"/>
    </row>
    <row r="94" spans="4:11" ht="11.25">
      <c r="D94" s="254"/>
      <c r="E94" s="254"/>
      <c r="G94" s="254"/>
      <c r="H94" s="254"/>
      <c r="J94" s="254"/>
      <c r="K94" s="254"/>
    </row>
    <row r="95" spans="4:11" ht="11.25">
      <c r="D95" s="254"/>
      <c r="E95" s="239"/>
      <c r="G95" s="254"/>
      <c r="H95" s="239"/>
      <c r="J95" s="254"/>
      <c r="K95" s="239"/>
    </row>
  </sheetData>
  <mergeCells count="1">
    <mergeCell ref="A82:B82"/>
  </mergeCells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47"/>
  <sheetViews>
    <sheetView showGridLines="0" workbookViewId="0" topLeftCell="A1">
      <selection activeCell="K69" sqref="K69"/>
    </sheetView>
  </sheetViews>
  <sheetFormatPr defaultColWidth="9.140625" defaultRowHeight="12.75"/>
  <cols>
    <col min="1" max="1" width="3.421875" style="300" customWidth="1"/>
    <col min="2" max="2" width="40.57421875" style="300" customWidth="1"/>
    <col min="3" max="3" width="7.57421875" style="300" customWidth="1"/>
    <col min="4" max="4" width="12.140625" style="300" customWidth="1"/>
    <col min="5" max="5" width="12.00390625" style="300" customWidth="1"/>
    <col min="6" max="6" width="7.57421875" style="300" customWidth="1"/>
    <col min="7" max="8" width="13.7109375" style="300" customWidth="1"/>
    <col min="9" max="9" width="7.57421875" style="300" customWidth="1"/>
    <col min="10" max="11" width="13.7109375" style="300" customWidth="1"/>
    <col min="12" max="12" width="7.8515625" style="300" customWidth="1"/>
    <col min="13" max="13" width="3.57421875" style="300" customWidth="1"/>
    <col min="14" max="14" width="5.8515625" style="300" customWidth="1"/>
    <col min="15" max="15" width="7.8515625" style="300" customWidth="1"/>
    <col min="16" max="17" width="11.28125" style="300" customWidth="1"/>
    <col min="18" max="18" width="2.7109375" style="300" customWidth="1"/>
    <col min="19" max="19" width="7.8515625" style="300" customWidth="1"/>
    <col min="20" max="21" width="11.28125" style="300" customWidth="1"/>
    <col min="22" max="22" width="2.7109375" style="300" customWidth="1"/>
    <col min="23" max="26" width="7.8515625" style="300" customWidth="1"/>
    <col min="27" max="27" width="3.57421875" style="300" customWidth="1"/>
    <col min="28" max="28" width="28.421875" style="300" customWidth="1"/>
    <col min="29" max="29" width="7.8515625" style="300" customWidth="1"/>
    <col min="30" max="31" width="11.28125" style="300" customWidth="1"/>
    <col min="32" max="32" width="2.7109375" style="300" customWidth="1"/>
    <col min="33" max="33" width="7.8515625" style="300" customWidth="1"/>
    <col min="34" max="35" width="11.28125" style="300" customWidth="1"/>
    <col min="36" max="36" width="2.7109375" style="300" customWidth="1"/>
    <col min="37" max="37" width="7.8515625" style="300" customWidth="1"/>
    <col min="38" max="39" width="11.28125" style="300" customWidth="1"/>
    <col min="40" max="16384" width="7.8515625" style="300" customWidth="1"/>
  </cols>
  <sheetData>
    <row r="1" spans="1:11" ht="12.75">
      <c r="A1" s="295" t="s">
        <v>0</v>
      </c>
      <c r="B1" s="296"/>
      <c r="C1" s="297"/>
      <c r="D1" s="297"/>
      <c r="E1" s="297"/>
      <c r="F1" s="298"/>
      <c r="G1" s="298"/>
      <c r="H1" s="298"/>
      <c r="I1" s="298"/>
      <c r="J1" s="298"/>
      <c r="K1" s="299" t="s">
        <v>275</v>
      </c>
    </row>
    <row r="2" spans="1:11" ht="12.75">
      <c r="A2" s="301" t="s">
        <v>2</v>
      </c>
      <c r="B2" s="302"/>
      <c r="C2" s="303"/>
      <c r="D2" s="303"/>
      <c r="E2" s="303"/>
      <c r="F2" s="304"/>
      <c r="G2" s="304"/>
      <c r="H2" s="304"/>
      <c r="I2" s="304"/>
      <c r="J2" s="304"/>
      <c r="K2" s="305"/>
    </row>
    <row r="3" spans="1:11" ht="12.75">
      <c r="A3" s="6" t="s">
        <v>276</v>
      </c>
      <c r="B3" s="302"/>
      <c r="C3" s="303"/>
      <c r="D3" s="303"/>
      <c r="E3" s="303"/>
      <c r="F3" s="304"/>
      <c r="G3" s="304"/>
      <c r="H3" s="304"/>
      <c r="I3" s="304"/>
      <c r="J3" s="304"/>
      <c r="K3" s="305"/>
    </row>
    <row r="4" spans="1:16" ht="12.75">
      <c r="A4" s="306" t="s">
        <v>277</v>
      </c>
      <c r="B4" s="307"/>
      <c r="C4" s="307"/>
      <c r="D4" s="307"/>
      <c r="E4" s="307"/>
      <c r="F4" s="307"/>
      <c r="G4" s="307"/>
      <c r="H4" s="308"/>
      <c r="I4" s="308"/>
      <c r="J4" s="308"/>
      <c r="K4" s="309"/>
      <c r="L4" s="310"/>
      <c r="M4" s="311"/>
      <c r="N4" s="310"/>
      <c r="O4" s="310"/>
      <c r="P4" s="310"/>
    </row>
    <row r="5" spans="1:19" ht="11.25">
      <c r="A5" s="312"/>
      <c r="B5" s="313"/>
      <c r="C5" s="312"/>
      <c r="D5" s="314" t="s">
        <v>5</v>
      </c>
      <c r="E5" s="315" t="s">
        <v>5</v>
      </c>
      <c r="F5" s="316"/>
      <c r="G5" s="296"/>
      <c r="H5" s="314"/>
      <c r="I5" s="314"/>
      <c r="J5" s="314"/>
      <c r="K5" s="315"/>
      <c r="L5" s="311"/>
      <c r="M5" s="311"/>
      <c r="N5" s="311"/>
      <c r="O5" s="311"/>
      <c r="P5" s="311"/>
      <c r="Q5" s="311"/>
      <c r="R5" s="311"/>
      <c r="S5" s="311"/>
    </row>
    <row r="6" spans="1:20" ht="11.25">
      <c r="A6" s="317" t="s">
        <v>6</v>
      </c>
      <c r="B6" s="305"/>
      <c r="C6" s="318"/>
      <c r="D6" s="319" t="s">
        <v>7</v>
      </c>
      <c r="E6" s="320" t="s">
        <v>8</v>
      </c>
      <c r="F6" s="318"/>
      <c r="G6" s="302"/>
      <c r="H6" s="319"/>
      <c r="I6" s="319"/>
      <c r="J6" s="319"/>
      <c r="K6" s="320"/>
      <c r="L6" s="311"/>
      <c r="M6" s="311"/>
      <c r="N6" s="311"/>
      <c r="O6" s="311"/>
      <c r="P6" s="311"/>
      <c r="Q6" s="311"/>
      <c r="R6" s="311"/>
      <c r="S6" s="311"/>
      <c r="T6" s="311"/>
    </row>
    <row r="7" spans="1:19" ht="11.25">
      <c r="A7" s="321"/>
      <c r="B7" s="322"/>
      <c r="C7" s="323" t="s">
        <v>9</v>
      </c>
      <c r="D7" s="324" t="s">
        <v>10</v>
      </c>
      <c r="E7" s="325" t="s">
        <v>10</v>
      </c>
      <c r="F7" s="318"/>
      <c r="G7" s="302"/>
      <c r="H7" s="319"/>
      <c r="I7" s="319"/>
      <c r="J7" s="319"/>
      <c r="K7" s="320"/>
      <c r="L7" s="311"/>
      <c r="M7" s="311"/>
      <c r="N7" s="311"/>
      <c r="O7" s="311"/>
      <c r="P7" s="311"/>
      <c r="Q7" s="311"/>
      <c r="R7" s="311"/>
      <c r="S7" s="311"/>
    </row>
    <row r="8" spans="1:11" ht="11.25">
      <c r="A8" s="326"/>
      <c r="B8" s="327" t="s">
        <v>11</v>
      </c>
      <c r="C8" s="328">
        <v>645</v>
      </c>
      <c r="D8" s="329">
        <v>1</v>
      </c>
      <c r="E8" s="330"/>
      <c r="F8" s="318"/>
      <c r="G8" s="302"/>
      <c r="H8" s="302"/>
      <c r="I8" s="302"/>
      <c r="J8" s="302"/>
      <c r="K8" s="305"/>
    </row>
    <row r="9" spans="1:11" ht="11.25">
      <c r="A9" s="331" t="s">
        <v>278</v>
      </c>
      <c r="B9" s="304" t="s">
        <v>279</v>
      </c>
      <c r="C9" s="331"/>
      <c r="D9" s="332"/>
      <c r="E9" s="305"/>
      <c r="F9" s="318"/>
      <c r="G9" s="302"/>
      <c r="H9" s="302"/>
      <c r="I9" s="302"/>
      <c r="J9" s="302"/>
      <c r="K9" s="305"/>
    </row>
    <row r="10" spans="1:11" ht="11.25">
      <c r="A10" s="318"/>
      <c r="B10" s="304" t="s">
        <v>280</v>
      </c>
      <c r="C10" s="331">
        <v>170</v>
      </c>
      <c r="D10" s="332">
        <f aca="true" t="shared" si="0" ref="D10:D15">C10/total</f>
        <v>0.26356589147286824</v>
      </c>
      <c r="E10" s="333">
        <f>C10/(total-q15n)</f>
        <v>0.26479750778816197</v>
      </c>
      <c r="F10" s="318"/>
      <c r="G10" s="302"/>
      <c r="H10" s="302"/>
      <c r="I10" s="302"/>
      <c r="J10" s="302"/>
      <c r="K10" s="305"/>
    </row>
    <row r="11" spans="1:11" ht="11.25">
      <c r="A11" s="318"/>
      <c r="B11" s="304" t="s">
        <v>281</v>
      </c>
      <c r="C11" s="331">
        <v>308</v>
      </c>
      <c r="D11" s="332">
        <f t="shared" si="0"/>
        <v>0.47751937984496123</v>
      </c>
      <c r="E11" s="333">
        <f>C11/(total-q15n)</f>
        <v>0.4797507788161994</v>
      </c>
      <c r="F11" s="318"/>
      <c r="G11" s="302"/>
      <c r="H11" s="302"/>
      <c r="I11" s="302"/>
      <c r="J11" s="302"/>
      <c r="K11" s="305"/>
    </row>
    <row r="12" spans="1:11" ht="11.25">
      <c r="A12" s="318"/>
      <c r="B12" s="304" t="s">
        <v>282</v>
      </c>
      <c r="C12" s="331">
        <v>142</v>
      </c>
      <c r="D12" s="332">
        <f t="shared" si="0"/>
        <v>0.22015503875968992</v>
      </c>
      <c r="E12" s="333">
        <f>C12/(total-q15n)</f>
        <v>0.22118380062305296</v>
      </c>
      <c r="F12" s="318"/>
      <c r="G12" s="302"/>
      <c r="H12" s="302"/>
      <c r="I12" s="302"/>
      <c r="J12" s="302"/>
      <c r="K12" s="305"/>
    </row>
    <row r="13" spans="1:11" ht="11.25">
      <c r="A13" s="318"/>
      <c r="B13" s="304" t="s">
        <v>283</v>
      </c>
      <c r="C13" s="331">
        <v>21</v>
      </c>
      <c r="D13" s="332">
        <f t="shared" si="0"/>
        <v>0.03255813953488372</v>
      </c>
      <c r="E13" s="333">
        <f>C13/(total-q15n)</f>
        <v>0.03271028037383177</v>
      </c>
      <c r="F13" s="318"/>
      <c r="G13" s="302"/>
      <c r="H13" s="302"/>
      <c r="I13" s="302"/>
      <c r="J13" s="302"/>
      <c r="K13" s="305"/>
    </row>
    <row r="14" spans="1:11" ht="11.25">
      <c r="A14" s="318"/>
      <c r="B14" s="304" t="s">
        <v>284</v>
      </c>
      <c r="C14" s="331">
        <v>1</v>
      </c>
      <c r="D14" s="332">
        <f t="shared" si="0"/>
        <v>0.0015503875968992248</v>
      </c>
      <c r="E14" s="333">
        <f>C14/(total-q15n)</f>
        <v>0.001557632398753894</v>
      </c>
      <c r="F14" s="318"/>
      <c r="G14" s="302"/>
      <c r="H14" s="302"/>
      <c r="I14" s="302"/>
      <c r="J14" s="302"/>
      <c r="K14" s="305"/>
    </row>
    <row r="15" spans="1:11" ht="11.25">
      <c r="A15" s="321"/>
      <c r="B15" s="308" t="s">
        <v>18</v>
      </c>
      <c r="C15" s="334">
        <v>3</v>
      </c>
      <c r="D15" s="335">
        <f t="shared" si="0"/>
        <v>0.004651162790697674</v>
      </c>
      <c r="E15" s="325" t="s">
        <v>19</v>
      </c>
      <c r="F15" s="318"/>
      <c r="G15" s="302"/>
      <c r="H15" s="302"/>
      <c r="I15" s="302"/>
      <c r="J15" s="302"/>
      <c r="K15" s="305"/>
    </row>
    <row r="16" spans="1:11" ht="11.25">
      <c r="A16" s="331" t="s">
        <v>285</v>
      </c>
      <c r="B16" s="304" t="s">
        <v>286</v>
      </c>
      <c r="C16" s="331"/>
      <c r="D16" s="332"/>
      <c r="E16" s="336"/>
      <c r="F16" s="318"/>
      <c r="G16" s="302"/>
      <c r="H16" s="302"/>
      <c r="I16" s="302"/>
      <c r="J16" s="302"/>
      <c r="K16" s="305"/>
    </row>
    <row r="17" spans="1:11" ht="11.25">
      <c r="A17" s="331"/>
      <c r="B17" s="304" t="s">
        <v>287</v>
      </c>
      <c r="C17" s="331"/>
      <c r="D17" s="332"/>
      <c r="E17" s="305"/>
      <c r="F17" s="318"/>
      <c r="G17" s="302"/>
      <c r="H17" s="302"/>
      <c r="I17" s="302"/>
      <c r="J17" s="302"/>
      <c r="K17" s="305"/>
    </row>
    <row r="18" spans="1:11" ht="11.25">
      <c r="A18" s="318"/>
      <c r="B18" s="304" t="s">
        <v>280</v>
      </c>
      <c r="C18" s="331">
        <v>277</v>
      </c>
      <c r="D18" s="332">
        <f aca="true" t="shared" si="1" ref="D18:D23">C18/total</f>
        <v>0.4294573643410853</v>
      </c>
      <c r="E18" s="333">
        <f>C18/(total-q16n)</f>
        <v>0.4307931570762053</v>
      </c>
      <c r="F18" s="318"/>
      <c r="G18" s="302"/>
      <c r="H18" s="302"/>
      <c r="I18" s="302"/>
      <c r="J18" s="302"/>
      <c r="K18" s="305"/>
    </row>
    <row r="19" spans="1:11" ht="11.25">
      <c r="A19" s="318"/>
      <c r="B19" s="304" t="s">
        <v>281</v>
      </c>
      <c r="C19" s="331">
        <v>232</v>
      </c>
      <c r="D19" s="332">
        <f t="shared" si="1"/>
        <v>0.35968992248062015</v>
      </c>
      <c r="E19" s="333">
        <f>C19/(total-q16n)</f>
        <v>0.3608087091757387</v>
      </c>
      <c r="F19" s="318"/>
      <c r="G19" s="302"/>
      <c r="H19" s="302"/>
      <c r="I19" s="302"/>
      <c r="J19" s="302"/>
      <c r="K19" s="305"/>
    </row>
    <row r="20" spans="1:11" ht="11.25">
      <c r="A20" s="318"/>
      <c r="B20" s="304" t="s">
        <v>282</v>
      </c>
      <c r="C20" s="331">
        <v>114</v>
      </c>
      <c r="D20" s="332">
        <f t="shared" si="1"/>
        <v>0.17674418604651163</v>
      </c>
      <c r="E20" s="333">
        <f>C20/(total-q16n)</f>
        <v>0.17729393468118196</v>
      </c>
      <c r="F20" s="318"/>
      <c r="G20" s="302"/>
      <c r="H20" s="302"/>
      <c r="I20" s="302"/>
      <c r="J20" s="302"/>
      <c r="K20" s="305"/>
    </row>
    <row r="21" spans="1:11" ht="11.25">
      <c r="A21" s="318"/>
      <c r="B21" s="304" t="s">
        <v>283</v>
      </c>
      <c r="C21" s="331">
        <v>19</v>
      </c>
      <c r="D21" s="332">
        <f t="shared" si="1"/>
        <v>0.02945736434108527</v>
      </c>
      <c r="E21" s="333">
        <f>C21/(total-q16n)</f>
        <v>0.029548989113530325</v>
      </c>
      <c r="F21" s="318"/>
      <c r="G21" s="302"/>
      <c r="H21" s="302"/>
      <c r="I21" s="302"/>
      <c r="J21" s="302"/>
      <c r="K21" s="305"/>
    </row>
    <row r="22" spans="1:11" ht="11.25">
      <c r="A22" s="318"/>
      <c r="B22" s="304" t="s">
        <v>284</v>
      </c>
      <c r="C22" s="331">
        <v>1</v>
      </c>
      <c r="D22" s="332">
        <f t="shared" si="1"/>
        <v>0.0015503875968992248</v>
      </c>
      <c r="E22" s="333">
        <f>C22/(total-q16n)</f>
        <v>0.0015552099533437014</v>
      </c>
      <c r="F22" s="318"/>
      <c r="G22" s="302"/>
      <c r="H22" s="302"/>
      <c r="I22" s="302"/>
      <c r="J22" s="302"/>
      <c r="K22" s="305"/>
    </row>
    <row r="23" spans="1:11" ht="11.25">
      <c r="A23" s="321"/>
      <c r="B23" s="308" t="s">
        <v>18</v>
      </c>
      <c r="C23" s="334">
        <v>2</v>
      </c>
      <c r="D23" s="335">
        <f t="shared" si="1"/>
        <v>0.0031007751937984496</v>
      </c>
      <c r="E23" s="325" t="s">
        <v>19</v>
      </c>
      <c r="F23" s="318"/>
      <c r="G23" s="302"/>
      <c r="H23" s="302"/>
      <c r="I23" s="302"/>
      <c r="J23" s="302"/>
      <c r="K23" s="305"/>
    </row>
    <row r="24" spans="1:11" ht="11.25">
      <c r="A24" s="331" t="s">
        <v>288</v>
      </c>
      <c r="B24" s="304" t="s">
        <v>289</v>
      </c>
      <c r="C24" s="331"/>
      <c r="D24" s="332"/>
      <c r="E24" s="336"/>
      <c r="F24" s="318"/>
      <c r="G24" s="302"/>
      <c r="H24" s="302"/>
      <c r="I24" s="302"/>
      <c r="J24" s="302"/>
      <c r="K24" s="305"/>
    </row>
    <row r="25" spans="1:11" ht="11.25">
      <c r="A25" s="331"/>
      <c r="B25" s="304" t="s">
        <v>290</v>
      </c>
      <c r="C25" s="331"/>
      <c r="D25" s="332"/>
      <c r="E25" s="305"/>
      <c r="F25" s="318"/>
      <c r="G25" s="302"/>
      <c r="H25" s="302"/>
      <c r="I25" s="302"/>
      <c r="J25" s="302"/>
      <c r="K25" s="305"/>
    </row>
    <row r="26" spans="1:11" ht="11.25">
      <c r="A26" s="318"/>
      <c r="B26" s="304" t="s">
        <v>280</v>
      </c>
      <c r="C26" s="331">
        <v>146</v>
      </c>
      <c r="D26" s="332">
        <f aca="true" t="shared" si="2" ref="D26:D31">C26/total</f>
        <v>0.22635658914728682</v>
      </c>
      <c r="E26" s="333">
        <f>C26/(total-q17n)</f>
        <v>0.22706065318818042</v>
      </c>
      <c r="F26" s="318"/>
      <c r="G26" s="302"/>
      <c r="H26" s="302"/>
      <c r="I26" s="302"/>
      <c r="J26" s="302"/>
      <c r="K26" s="305"/>
    </row>
    <row r="27" spans="1:11" ht="11.25">
      <c r="A27" s="318"/>
      <c r="B27" s="304" t="s">
        <v>281</v>
      </c>
      <c r="C27" s="331">
        <v>268</v>
      </c>
      <c r="D27" s="332">
        <f t="shared" si="2"/>
        <v>0.41550387596899224</v>
      </c>
      <c r="E27" s="333">
        <f>C27/(total-q17n)</f>
        <v>0.416796267496112</v>
      </c>
      <c r="F27" s="318"/>
      <c r="G27" s="302"/>
      <c r="H27" s="302"/>
      <c r="I27" s="302"/>
      <c r="J27" s="302"/>
      <c r="K27" s="305"/>
    </row>
    <row r="28" spans="1:11" ht="11.25">
      <c r="A28" s="318"/>
      <c r="B28" s="304" t="s">
        <v>282</v>
      </c>
      <c r="C28" s="331">
        <v>174</v>
      </c>
      <c r="D28" s="332">
        <f t="shared" si="2"/>
        <v>0.26976744186046514</v>
      </c>
      <c r="E28" s="333">
        <f>C28/(total-q17n)</f>
        <v>0.27060653188180406</v>
      </c>
      <c r="F28" s="318"/>
      <c r="G28" s="302"/>
      <c r="H28" s="302"/>
      <c r="I28" s="302"/>
      <c r="J28" s="302"/>
      <c r="K28" s="305"/>
    </row>
    <row r="29" spans="1:11" ht="11.25">
      <c r="A29" s="318"/>
      <c r="B29" s="304" t="s">
        <v>283</v>
      </c>
      <c r="C29" s="331">
        <v>49</v>
      </c>
      <c r="D29" s="332">
        <f t="shared" si="2"/>
        <v>0.07596899224806201</v>
      </c>
      <c r="E29" s="333">
        <f>C29/(total-q17n)</f>
        <v>0.07620528771384137</v>
      </c>
      <c r="F29" s="318"/>
      <c r="G29" s="302"/>
      <c r="H29" s="302"/>
      <c r="I29" s="302"/>
      <c r="J29" s="302"/>
      <c r="K29" s="305"/>
    </row>
    <row r="30" spans="1:11" ht="11.25">
      <c r="A30" s="318"/>
      <c r="B30" s="304" t="s">
        <v>284</v>
      </c>
      <c r="C30" s="331">
        <v>6</v>
      </c>
      <c r="D30" s="332">
        <f t="shared" si="2"/>
        <v>0.009302325581395349</v>
      </c>
      <c r="E30" s="333">
        <f>C30/(total-q17n)</f>
        <v>0.00933125972006221</v>
      </c>
      <c r="F30" s="318"/>
      <c r="G30" s="302"/>
      <c r="H30" s="302"/>
      <c r="I30" s="302"/>
      <c r="J30" s="302"/>
      <c r="K30" s="305"/>
    </row>
    <row r="31" spans="1:11" ht="11.25">
      <c r="A31" s="321"/>
      <c r="B31" s="308" t="s">
        <v>18</v>
      </c>
      <c r="C31" s="334">
        <v>2</v>
      </c>
      <c r="D31" s="335">
        <f t="shared" si="2"/>
        <v>0.0031007751937984496</v>
      </c>
      <c r="E31" s="325" t="s">
        <v>19</v>
      </c>
      <c r="F31" s="318"/>
      <c r="G31" s="302"/>
      <c r="H31" s="302"/>
      <c r="I31" s="302"/>
      <c r="J31" s="302"/>
      <c r="K31" s="305"/>
    </row>
    <row r="32" spans="1:11" ht="11.25">
      <c r="A32" s="331" t="s">
        <v>291</v>
      </c>
      <c r="B32" s="304" t="s">
        <v>292</v>
      </c>
      <c r="C32" s="331"/>
      <c r="D32" s="332"/>
      <c r="E32" s="336"/>
      <c r="F32" s="318"/>
      <c r="G32" s="302"/>
      <c r="H32" s="302"/>
      <c r="I32" s="302"/>
      <c r="J32" s="302"/>
      <c r="K32" s="305"/>
    </row>
    <row r="33" spans="1:11" ht="11.25">
      <c r="A33" s="318"/>
      <c r="B33" s="304" t="s">
        <v>293</v>
      </c>
      <c r="C33" s="331"/>
      <c r="D33" s="302"/>
      <c r="E33" s="305"/>
      <c r="F33" s="318"/>
      <c r="G33" s="302"/>
      <c r="H33" s="302"/>
      <c r="I33" s="302"/>
      <c r="J33" s="302"/>
      <c r="K33" s="305"/>
    </row>
    <row r="34" spans="1:11" ht="11.25">
      <c r="A34" s="318"/>
      <c r="B34" s="304" t="s">
        <v>280</v>
      </c>
      <c r="C34" s="331">
        <v>150</v>
      </c>
      <c r="D34" s="332">
        <f aca="true" t="shared" si="3" ref="D34:D39">C34/total</f>
        <v>0.23255813953488372</v>
      </c>
      <c r="E34" s="333">
        <f>C34/(total-q18n)</f>
        <v>0.2332814930015552</v>
      </c>
      <c r="F34" s="318"/>
      <c r="G34" s="302"/>
      <c r="H34" s="302"/>
      <c r="I34" s="302"/>
      <c r="J34" s="302"/>
      <c r="K34" s="305"/>
    </row>
    <row r="35" spans="1:11" ht="11.25">
      <c r="A35" s="318"/>
      <c r="B35" s="304" t="s">
        <v>281</v>
      </c>
      <c r="C35" s="331">
        <v>349</v>
      </c>
      <c r="D35" s="332">
        <f t="shared" si="3"/>
        <v>0.5410852713178295</v>
      </c>
      <c r="E35" s="333">
        <f>C35/(total-q18n)</f>
        <v>0.5427682737169518</v>
      </c>
      <c r="F35" s="318"/>
      <c r="G35" s="302"/>
      <c r="H35" s="302"/>
      <c r="I35" s="302"/>
      <c r="J35" s="302"/>
      <c r="K35" s="305"/>
    </row>
    <row r="36" spans="1:11" ht="11.25">
      <c r="A36" s="318"/>
      <c r="B36" s="304" t="s">
        <v>282</v>
      </c>
      <c r="C36" s="331">
        <v>116</v>
      </c>
      <c r="D36" s="332">
        <f t="shared" si="3"/>
        <v>0.17984496124031008</v>
      </c>
      <c r="E36" s="333">
        <f>C36/(total-q18n)</f>
        <v>0.18040435458786935</v>
      </c>
      <c r="F36" s="318"/>
      <c r="G36" s="302"/>
      <c r="H36" s="302"/>
      <c r="I36" s="302"/>
      <c r="J36" s="302"/>
      <c r="K36" s="305"/>
    </row>
    <row r="37" spans="1:11" ht="11.25">
      <c r="A37" s="318"/>
      <c r="B37" s="304" t="s">
        <v>283</v>
      </c>
      <c r="C37" s="331">
        <v>27</v>
      </c>
      <c r="D37" s="332">
        <f t="shared" si="3"/>
        <v>0.04186046511627907</v>
      </c>
      <c r="E37" s="333">
        <f>C37/(total-q18n)</f>
        <v>0.041990668740279936</v>
      </c>
      <c r="F37" s="318"/>
      <c r="G37" s="302"/>
      <c r="H37" s="302"/>
      <c r="I37" s="302"/>
      <c r="J37" s="302"/>
      <c r="K37" s="305"/>
    </row>
    <row r="38" spans="1:11" ht="11.25">
      <c r="A38" s="318"/>
      <c r="B38" s="304" t="s">
        <v>284</v>
      </c>
      <c r="C38" s="331">
        <v>1</v>
      </c>
      <c r="D38" s="332">
        <f t="shared" si="3"/>
        <v>0.0015503875968992248</v>
      </c>
      <c r="E38" s="333">
        <f>C38/(total-q18n)</f>
        <v>0.0015552099533437014</v>
      </c>
      <c r="F38" s="318"/>
      <c r="G38" s="302"/>
      <c r="H38" s="302"/>
      <c r="I38" s="302"/>
      <c r="J38" s="302"/>
      <c r="K38" s="305"/>
    </row>
    <row r="39" spans="1:11" ht="11.25">
      <c r="A39" s="321"/>
      <c r="B39" s="308" t="s">
        <v>18</v>
      </c>
      <c r="C39" s="334">
        <v>2</v>
      </c>
      <c r="D39" s="335">
        <f t="shared" si="3"/>
        <v>0.0031007751937984496</v>
      </c>
      <c r="E39" s="325" t="s">
        <v>19</v>
      </c>
      <c r="F39" s="318"/>
      <c r="G39" s="302"/>
      <c r="H39" s="302"/>
      <c r="I39" s="302"/>
      <c r="J39" s="302"/>
      <c r="K39" s="305"/>
    </row>
    <row r="40" spans="1:11" ht="11.25">
      <c r="A40" s="337" t="s">
        <v>294</v>
      </c>
      <c r="B40" s="304" t="s">
        <v>295</v>
      </c>
      <c r="C40" s="316"/>
      <c r="D40" s="338"/>
      <c r="E40" s="339"/>
      <c r="F40" s="302"/>
      <c r="G40" s="340"/>
      <c r="H40" s="340"/>
      <c r="I40" s="302"/>
      <c r="J40" s="302"/>
      <c r="K40" s="305"/>
    </row>
    <row r="41" spans="1:11" ht="11.25">
      <c r="A41" s="318"/>
      <c r="B41" s="304" t="s">
        <v>296</v>
      </c>
      <c r="C41" s="318"/>
      <c r="D41" s="302"/>
      <c r="E41" s="305"/>
      <c r="F41" s="302"/>
      <c r="G41" s="302"/>
      <c r="H41" s="302"/>
      <c r="I41" s="302"/>
      <c r="J41" s="302"/>
      <c r="K41" s="305"/>
    </row>
    <row r="42" spans="1:11" ht="11.25">
      <c r="A42" s="318"/>
      <c r="B42" s="304" t="s">
        <v>280</v>
      </c>
      <c r="C42" s="318">
        <v>203</v>
      </c>
      <c r="D42" s="332">
        <f aca="true" t="shared" si="4" ref="D42:D47">C42/total</f>
        <v>0.3147286821705426</v>
      </c>
      <c r="E42" s="333">
        <f>C42/(total-q19n)</f>
        <v>0.3161993769470405</v>
      </c>
      <c r="F42" s="304"/>
      <c r="G42" s="332"/>
      <c r="H42" s="332"/>
      <c r="I42" s="302"/>
      <c r="J42" s="302"/>
      <c r="K42" s="305"/>
    </row>
    <row r="43" spans="1:11" ht="11.25">
      <c r="A43" s="318"/>
      <c r="B43" s="304" t="s">
        <v>281</v>
      </c>
      <c r="C43" s="318">
        <v>318</v>
      </c>
      <c r="D43" s="332">
        <f t="shared" si="4"/>
        <v>0.4930232558139535</v>
      </c>
      <c r="E43" s="333">
        <f>C43/(total-q19n)</f>
        <v>0.4953271028037383</v>
      </c>
      <c r="F43" s="304"/>
      <c r="G43" s="332"/>
      <c r="H43" s="332"/>
      <c r="I43" s="302"/>
      <c r="J43" s="302"/>
      <c r="K43" s="305"/>
    </row>
    <row r="44" spans="1:11" ht="11.25">
      <c r="A44" s="318"/>
      <c r="B44" s="304" t="s">
        <v>282</v>
      </c>
      <c r="C44" s="318">
        <v>110</v>
      </c>
      <c r="D44" s="332">
        <f t="shared" si="4"/>
        <v>0.17054263565891473</v>
      </c>
      <c r="E44" s="333">
        <f>C44/(total-q19n)</f>
        <v>0.17133956386292834</v>
      </c>
      <c r="F44" s="304"/>
      <c r="G44" s="332"/>
      <c r="H44" s="332"/>
      <c r="I44" s="302"/>
      <c r="J44" s="302"/>
      <c r="K44" s="305"/>
    </row>
    <row r="45" spans="1:11" ht="11.25">
      <c r="A45" s="318"/>
      <c r="B45" s="304" t="s">
        <v>283</v>
      </c>
      <c r="C45" s="318">
        <v>10</v>
      </c>
      <c r="D45" s="332">
        <f t="shared" si="4"/>
        <v>0.015503875968992248</v>
      </c>
      <c r="E45" s="333">
        <f>C45/(total-q19n)</f>
        <v>0.01557632398753894</v>
      </c>
      <c r="F45" s="304"/>
      <c r="G45" s="332"/>
      <c r="H45" s="332"/>
      <c r="I45" s="302"/>
      <c r="J45" s="302"/>
      <c r="K45" s="305"/>
    </row>
    <row r="46" spans="1:11" ht="11.25">
      <c r="A46" s="318"/>
      <c r="B46" s="304" t="s">
        <v>284</v>
      </c>
      <c r="C46" s="318">
        <v>1</v>
      </c>
      <c r="D46" s="332">
        <f t="shared" si="4"/>
        <v>0.0015503875968992248</v>
      </c>
      <c r="E46" s="333">
        <f>C46/(total-q19n)</f>
        <v>0.001557632398753894</v>
      </c>
      <c r="F46" s="304"/>
      <c r="G46" s="332"/>
      <c r="H46" s="332"/>
      <c r="I46" s="302"/>
      <c r="J46" s="302"/>
      <c r="K46" s="305"/>
    </row>
    <row r="47" spans="1:11" ht="11.25">
      <c r="A47" s="321"/>
      <c r="B47" s="308" t="s">
        <v>18</v>
      </c>
      <c r="C47" s="321">
        <v>3</v>
      </c>
      <c r="D47" s="335">
        <f t="shared" si="4"/>
        <v>0.004651162790697674</v>
      </c>
      <c r="E47" s="325" t="s">
        <v>19</v>
      </c>
      <c r="F47" s="308"/>
      <c r="G47" s="335"/>
      <c r="H47" s="324"/>
      <c r="I47" s="307"/>
      <c r="J47" s="307"/>
      <c r="K47" s="322"/>
    </row>
    <row r="48" spans="1:11" ht="12.75">
      <c r="A48" s="295" t="s">
        <v>0</v>
      </c>
      <c r="B48" s="296"/>
      <c r="C48" s="297"/>
      <c r="D48" s="297"/>
      <c r="E48" s="297"/>
      <c r="F48" s="298"/>
      <c r="G48" s="298"/>
      <c r="H48" s="298"/>
      <c r="I48" s="298"/>
      <c r="J48" s="298"/>
      <c r="K48" s="299" t="s">
        <v>297</v>
      </c>
    </row>
    <row r="49" spans="1:11" ht="12.75">
      <c r="A49" s="301" t="s">
        <v>2</v>
      </c>
      <c r="B49" s="302"/>
      <c r="C49" s="303"/>
      <c r="D49" s="303"/>
      <c r="E49" s="303"/>
      <c r="F49" s="304"/>
      <c r="G49" s="304"/>
      <c r="H49" s="304"/>
      <c r="I49" s="304"/>
      <c r="J49" s="304"/>
      <c r="K49" s="305"/>
    </row>
    <row r="50" spans="1:11" ht="12.75">
      <c r="A50" s="6" t="s">
        <v>276</v>
      </c>
      <c r="B50" s="302"/>
      <c r="C50" s="303"/>
      <c r="D50" s="303"/>
      <c r="E50" s="303"/>
      <c r="F50" s="304"/>
      <c r="G50" s="304"/>
      <c r="H50" s="304"/>
      <c r="I50" s="304"/>
      <c r="J50" s="304"/>
      <c r="K50" s="305"/>
    </row>
    <row r="51" spans="1:11" ht="12.75">
      <c r="A51" s="306" t="s">
        <v>277</v>
      </c>
      <c r="B51" s="307"/>
      <c r="C51" s="307"/>
      <c r="D51" s="307"/>
      <c r="E51" s="307"/>
      <c r="F51" s="307"/>
      <c r="G51" s="307"/>
      <c r="H51" s="308"/>
      <c r="I51" s="308"/>
      <c r="J51" s="308"/>
      <c r="K51" s="309"/>
    </row>
    <row r="52" spans="1:11" ht="11.25">
      <c r="A52" s="341" t="s">
        <v>298</v>
      </c>
      <c r="B52" s="298" t="s">
        <v>299</v>
      </c>
      <c r="C52" s="316"/>
      <c r="D52" s="338"/>
      <c r="E52" s="339"/>
      <c r="F52" s="296"/>
      <c r="G52" s="338"/>
      <c r="H52" s="338"/>
      <c r="I52" s="296"/>
      <c r="J52" s="296"/>
      <c r="K52" s="313"/>
    </row>
    <row r="53" spans="1:11" ht="11.25">
      <c r="A53" s="318"/>
      <c r="B53" s="304" t="s">
        <v>280</v>
      </c>
      <c r="C53" s="318">
        <v>144</v>
      </c>
      <c r="D53" s="332">
        <f aca="true" t="shared" si="5" ref="D53:D58">C53/total</f>
        <v>0.22325581395348837</v>
      </c>
      <c r="E53" s="333">
        <f>C53/(total-q20n)</f>
        <v>0.223950233281493</v>
      </c>
      <c r="F53" s="304"/>
      <c r="G53" s="332"/>
      <c r="H53" s="332"/>
      <c r="I53" s="302"/>
      <c r="J53" s="302"/>
      <c r="K53" s="305"/>
    </row>
    <row r="54" spans="1:11" ht="11.25">
      <c r="A54" s="318"/>
      <c r="B54" s="304" t="s">
        <v>281</v>
      </c>
      <c r="C54" s="318">
        <v>335</v>
      </c>
      <c r="D54" s="332">
        <f t="shared" si="5"/>
        <v>0.5193798449612403</v>
      </c>
      <c r="E54" s="333">
        <f>C54/(total-q20n)</f>
        <v>0.52099533437014</v>
      </c>
      <c r="F54" s="304"/>
      <c r="G54" s="332"/>
      <c r="H54" s="332"/>
      <c r="I54" s="302"/>
      <c r="J54" s="302"/>
      <c r="K54" s="305"/>
    </row>
    <row r="55" spans="1:11" ht="11.25">
      <c r="A55" s="318"/>
      <c r="B55" s="304" t="s">
        <v>282</v>
      </c>
      <c r="C55" s="318">
        <v>141</v>
      </c>
      <c r="D55" s="332">
        <f t="shared" si="5"/>
        <v>0.2186046511627907</v>
      </c>
      <c r="E55" s="333">
        <f>C55/(total-q20n)</f>
        <v>0.2192846034214619</v>
      </c>
      <c r="F55" s="304"/>
      <c r="G55" s="332"/>
      <c r="H55" s="332"/>
      <c r="I55" s="302"/>
      <c r="J55" s="302"/>
      <c r="K55" s="305"/>
    </row>
    <row r="56" spans="1:11" ht="11.25">
      <c r="A56" s="318"/>
      <c r="B56" s="304" t="s">
        <v>283</v>
      </c>
      <c r="C56" s="318">
        <v>22</v>
      </c>
      <c r="D56" s="332">
        <f t="shared" si="5"/>
        <v>0.034108527131782945</v>
      </c>
      <c r="E56" s="333">
        <f>C56/(total-q20n)</f>
        <v>0.03421461897356143</v>
      </c>
      <c r="F56" s="304"/>
      <c r="G56" s="332"/>
      <c r="H56" s="332"/>
      <c r="I56" s="302"/>
      <c r="J56" s="302"/>
      <c r="K56" s="305"/>
    </row>
    <row r="57" spans="1:11" ht="11.25">
      <c r="A57" s="318"/>
      <c r="B57" s="304" t="s">
        <v>284</v>
      </c>
      <c r="C57" s="318">
        <v>1</v>
      </c>
      <c r="D57" s="332">
        <f t="shared" si="5"/>
        <v>0.0015503875968992248</v>
      </c>
      <c r="E57" s="333">
        <f>C57/(total-q20n)</f>
        <v>0.0015552099533437014</v>
      </c>
      <c r="F57" s="304"/>
      <c r="G57" s="332"/>
      <c r="H57" s="332"/>
      <c r="I57" s="302"/>
      <c r="J57" s="302"/>
      <c r="K57" s="305"/>
    </row>
    <row r="58" spans="1:11" ht="11.25">
      <c r="A58" s="321"/>
      <c r="B58" s="308" t="s">
        <v>18</v>
      </c>
      <c r="C58" s="321">
        <v>2</v>
      </c>
      <c r="D58" s="335">
        <f t="shared" si="5"/>
        <v>0.0031007751937984496</v>
      </c>
      <c r="E58" s="325" t="s">
        <v>19</v>
      </c>
      <c r="F58" s="304"/>
      <c r="G58" s="332"/>
      <c r="H58" s="319"/>
      <c r="I58" s="302"/>
      <c r="J58" s="302"/>
      <c r="K58" s="305"/>
    </row>
    <row r="59" spans="1:11" ht="11.25">
      <c r="A59" s="337" t="s">
        <v>300</v>
      </c>
      <c r="B59" s="304" t="s">
        <v>301</v>
      </c>
      <c r="C59" s="318"/>
      <c r="D59" s="340"/>
      <c r="E59" s="336"/>
      <c r="F59" s="302"/>
      <c r="G59" s="340"/>
      <c r="H59" s="340"/>
      <c r="I59" s="302"/>
      <c r="J59" s="302"/>
      <c r="K59" s="305"/>
    </row>
    <row r="60" spans="1:11" ht="11.25">
      <c r="A60" s="318"/>
      <c r="B60" s="304" t="s">
        <v>302</v>
      </c>
      <c r="C60" s="318"/>
      <c r="D60" s="302"/>
      <c r="E60" s="305"/>
      <c r="F60" s="302"/>
      <c r="G60" s="302"/>
      <c r="H60" s="302"/>
      <c r="I60" s="302"/>
      <c r="J60" s="302"/>
      <c r="K60" s="305"/>
    </row>
    <row r="61" spans="1:11" ht="11.25">
      <c r="A61" s="318"/>
      <c r="B61" s="304" t="s">
        <v>280</v>
      </c>
      <c r="C61" s="318">
        <v>266</v>
      </c>
      <c r="D61" s="332">
        <f aca="true" t="shared" si="6" ref="D61:D66">C61/total</f>
        <v>0.4124031007751938</v>
      </c>
      <c r="E61" s="333">
        <f>C61/(total-q21n)</f>
        <v>0.4143302180685358</v>
      </c>
      <c r="F61" s="304"/>
      <c r="G61" s="332"/>
      <c r="H61" s="332"/>
      <c r="I61" s="302"/>
      <c r="J61" s="302"/>
      <c r="K61" s="305"/>
    </row>
    <row r="62" spans="1:11" ht="11.25">
      <c r="A62" s="318"/>
      <c r="B62" s="304" t="s">
        <v>281</v>
      </c>
      <c r="C62" s="318">
        <v>279</v>
      </c>
      <c r="D62" s="332">
        <f t="shared" si="6"/>
        <v>0.4325581395348837</v>
      </c>
      <c r="E62" s="333">
        <f>C62/(total-q21n)</f>
        <v>0.43457943925233644</v>
      </c>
      <c r="F62" s="304"/>
      <c r="G62" s="332"/>
      <c r="H62" s="332"/>
      <c r="I62" s="302"/>
      <c r="J62" s="302"/>
      <c r="K62" s="305"/>
    </row>
    <row r="63" spans="1:11" ht="11.25">
      <c r="A63" s="318"/>
      <c r="B63" s="304" t="s">
        <v>282</v>
      </c>
      <c r="C63" s="318">
        <v>82</v>
      </c>
      <c r="D63" s="332">
        <f t="shared" si="6"/>
        <v>0.12713178294573643</v>
      </c>
      <c r="E63" s="333">
        <f>C63/(total-q21n)</f>
        <v>0.1277258566978193</v>
      </c>
      <c r="F63" s="304"/>
      <c r="G63" s="332"/>
      <c r="H63" s="332"/>
      <c r="I63" s="302"/>
      <c r="J63" s="302"/>
      <c r="K63" s="305"/>
    </row>
    <row r="64" spans="1:11" ht="11.25">
      <c r="A64" s="318"/>
      <c r="B64" s="304" t="s">
        <v>283</v>
      </c>
      <c r="C64" s="318">
        <v>15</v>
      </c>
      <c r="D64" s="332">
        <f t="shared" si="6"/>
        <v>0.023255813953488372</v>
      </c>
      <c r="E64" s="333">
        <f>C64/(total-q21n)</f>
        <v>0.02336448598130841</v>
      </c>
      <c r="F64" s="304"/>
      <c r="G64" s="332"/>
      <c r="H64" s="332"/>
      <c r="I64" s="302"/>
      <c r="J64" s="302"/>
      <c r="K64" s="305"/>
    </row>
    <row r="65" spans="1:11" ht="11.25">
      <c r="A65" s="318"/>
      <c r="B65" s="304" t="s">
        <v>284</v>
      </c>
      <c r="C65" s="318">
        <v>0</v>
      </c>
      <c r="D65" s="332">
        <f t="shared" si="6"/>
        <v>0</v>
      </c>
      <c r="E65" s="333">
        <f>C65/(total-q21n)</f>
        <v>0</v>
      </c>
      <c r="F65" s="304"/>
      <c r="G65" s="332"/>
      <c r="H65" s="332"/>
      <c r="I65" s="302"/>
      <c r="J65" s="302"/>
      <c r="K65" s="305"/>
    </row>
    <row r="66" spans="1:11" ht="11.25">
      <c r="A66" s="321"/>
      <c r="B66" s="308" t="s">
        <v>18</v>
      </c>
      <c r="C66" s="321">
        <v>3</v>
      </c>
      <c r="D66" s="335">
        <f t="shared" si="6"/>
        <v>0.004651162790697674</v>
      </c>
      <c r="E66" s="325" t="s">
        <v>19</v>
      </c>
      <c r="F66" s="304"/>
      <c r="G66" s="332"/>
      <c r="H66" s="319"/>
      <c r="I66" s="302"/>
      <c r="J66" s="302"/>
      <c r="K66" s="305"/>
    </row>
    <row r="67" spans="1:11" ht="11.25">
      <c r="A67" s="337" t="s">
        <v>303</v>
      </c>
      <c r="B67" s="304" t="s">
        <v>304</v>
      </c>
      <c r="C67" s="318"/>
      <c r="D67" s="340"/>
      <c r="E67" s="336"/>
      <c r="F67" s="302"/>
      <c r="G67" s="340"/>
      <c r="H67" s="340"/>
      <c r="I67" s="302"/>
      <c r="J67" s="302"/>
      <c r="K67" s="305"/>
    </row>
    <row r="68" spans="1:11" ht="11.25">
      <c r="A68" s="318"/>
      <c r="B68" s="304" t="s">
        <v>305</v>
      </c>
      <c r="C68" s="318"/>
      <c r="D68" s="302"/>
      <c r="E68" s="305"/>
      <c r="F68" s="302"/>
      <c r="G68" s="302"/>
      <c r="H68" s="302"/>
      <c r="I68" s="302"/>
      <c r="J68" s="302"/>
      <c r="K68" s="305"/>
    </row>
    <row r="69" spans="1:11" ht="11.25">
      <c r="A69" s="318"/>
      <c r="B69" s="304" t="s">
        <v>280</v>
      </c>
      <c r="C69" s="318">
        <v>267</v>
      </c>
      <c r="D69" s="332">
        <f aca="true" t="shared" si="7" ref="D69:D74">C69/total</f>
        <v>0.413953488372093</v>
      </c>
      <c r="E69" s="333">
        <f>C69/(total-q22n)</f>
        <v>0.4165366614664587</v>
      </c>
      <c r="F69" s="304"/>
      <c r="G69" s="332"/>
      <c r="H69" s="332"/>
      <c r="I69" s="302"/>
      <c r="J69" s="302"/>
      <c r="K69" s="305"/>
    </row>
    <row r="70" spans="1:11" ht="11.25">
      <c r="A70" s="318"/>
      <c r="B70" s="304" t="s">
        <v>281</v>
      </c>
      <c r="C70" s="318">
        <v>278</v>
      </c>
      <c r="D70" s="332">
        <f t="shared" si="7"/>
        <v>0.4310077519379845</v>
      </c>
      <c r="E70" s="333">
        <f>C70/(total-q22n)</f>
        <v>0.43369734789391573</v>
      </c>
      <c r="F70" s="304"/>
      <c r="G70" s="332"/>
      <c r="H70" s="332"/>
      <c r="I70" s="302"/>
      <c r="J70" s="302"/>
      <c r="K70" s="305"/>
    </row>
    <row r="71" spans="1:11" ht="11.25">
      <c r="A71" s="318"/>
      <c r="B71" s="304" t="s">
        <v>282</v>
      </c>
      <c r="C71" s="318">
        <v>86</v>
      </c>
      <c r="D71" s="332">
        <f t="shared" si="7"/>
        <v>0.13333333333333333</v>
      </c>
      <c r="E71" s="333">
        <f>C71/(total-q22n)</f>
        <v>0.13416536661466458</v>
      </c>
      <c r="F71" s="304"/>
      <c r="G71" s="332"/>
      <c r="H71" s="332"/>
      <c r="I71" s="302"/>
      <c r="J71" s="302"/>
      <c r="K71" s="305"/>
    </row>
    <row r="72" spans="1:11" ht="11.25">
      <c r="A72" s="318"/>
      <c r="B72" s="304" t="s">
        <v>283</v>
      </c>
      <c r="C72" s="318">
        <v>10</v>
      </c>
      <c r="D72" s="332">
        <f t="shared" si="7"/>
        <v>0.015503875968992248</v>
      </c>
      <c r="E72" s="333">
        <f>C72/(total-q22n)</f>
        <v>0.015600624024960999</v>
      </c>
      <c r="F72" s="304"/>
      <c r="G72" s="332"/>
      <c r="H72" s="332"/>
      <c r="I72" s="302"/>
      <c r="J72" s="302"/>
      <c r="K72" s="305"/>
    </row>
    <row r="73" spans="1:11" ht="11.25">
      <c r="A73" s="318"/>
      <c r="B73" s="304" t="s">
        <v>284</v>
      </c>
      <c r="C73" s="318">
        <v>0</v>
      </c>
      <c r="D73" s="332">
        <f t="shared" si="7"/>
        <v>0</v>
      </c>
      <c r="E73" s="333">
        <f>C73/(total-q22n)</f>
        <v>0</v>
      </c>
      <c r="F73" s="304"/>
      <c r="G73" s="332"/>
      <c r="H73" s="332"/>
      <c r="I73" s="302"/>
      <c r="J73" s="302"/>
      <c r="K73" s="305"/>
    </row>
    <row r="74" spans="1:11" ht="11.25">
      <c r="A74" s="321"/>
      <c r="B74" s="308" t="s">
        <v>18</v>
      </c>
      <c r="C74" s="321">
        <v>4</v>
      </c>
      <c r="D74" s="335">
        <f t="shared" si="7"/>
        <v>0.006201550387596899</v>
      </c>
      <c r="E74" s="325" t="s">
        <v>19</v>
      </c>
      <c r="F74" s="304"/>
      <c r="G74" s="332"/>
      <c r="H74" s="319"/>
      <c r="I74" s="302"/>
      <c r="J74" s="302"/>
      <c r="K74" s="305"/>
    </row>
    <row r="75" spans="1:11" ht="12.75">
      <c r="A75" s="312"/>
      <c r="B75" s="313"/>
      <c r="C75" s="342" t="s">
        <v>153</v>
      </c>
      <c r="D75" s="343"/>
      <c r="E75" s="343"/>
      <c r="F75" s="342" t="s">
        <v>154</v>
      </c>
      <c r="G75" s="344"/>
      <c r="H75" s="345"/>
      <c r="I75" s="302"/>
      <c r="J75" s="302"/>
      <c r="K75" s="305"/>
    </row>
    <row r="76" spans="1:11" ht="11.25">
      <c r="A76" s="318"/>
      <c r="B76" s="305"/>
      <c r="C76" s="346"/>
      <c r="D76" s="347" t="s">
        <v>5</v>
      </c>
      <c r="E76" s="347" t="s">
        <v>5</v>
      </c>
      <c r="F76" s="346"/>
      <c r="G76" s="347" t="s">
        <v>5</v>
      </c>
      <c r="H76" s="299" t="s">
        <v>5</v>
      </c>
      <c r="I76" s="302"/>
      <c r="J76" s="302"/>
      <c r="K76" s="305"/>
    </row>
    <row r="77" spans="1:11" ht="11.25">
      <c r="A77" s="317" t="s">
        <v>155</v>
      </c>
      <c r="B77" s="305"/>
      <c r="C77" s="348"/>
      <c r="D77" s="349" t="s">
        <v>7</v>
      </c>
      <c r="E77" s="349" t="s">
        <v>8</v>
      </c>
      <c r="F77" s="348"/>
      <c r="G77" s="349" t="s">
        <v>7</v>
      </c>
      <c r="H77" s="350" t="s">
        <v>8</v>
      </c>
      <c r="I77" s="302"/>
      <c r="J77" s="302"/>
      <c r="K77" s="305"/>
    </row>
    <row r="78" spans="1:11" ht="11.25">
      <c r="A78" s="321"/>
      <c r="B78" s="322"/>
      <c r="C78" s="351" t="s">
        <v>9</v>
      </c>
      <c r="D78" s="352" t="s">
        <v>10</v>
      </c>
      <c r="E78" s="352" t="s">
        <v>10</v>
      </c>
      <c r="F78" s="351" t="s">
        <v>9</v>
      </c>
      <c r="G78" s="352" t="s">
        <v>10</v>
      </c>
      <c r="H78" s="353" t="s">
        <v>10</v>
      </c>
      <c r="I78" s="302"/>
      <c r="J78" s="302"/>
      <c r="K78" s="305"/>
    </row>
    <row r="79" spans="1:11" ht="15" customHeight="1">
      <c r="A79" s="331" t="s">
        <v>11</v>
      </c>
      <c r="B79" s="304"/>
      <c r="C79" s="331">
        <v>211</v>
      </c>
      <c r="D79" s="332">
        <v>1</v>
      </c>
      <c r="E79" s="332"/>
      <c r="F79" s="331">
        <v>434</v>
      </c>
      <c r="G79" s="332">
        <v>1</v>
      </c>
      <c r="H79" s="305"/>
      <c r="I79" s="302"/>
      <c r="J79" s="302"/>
      <c r="K79" s="305"/>
    </row>
    <row r="80" spans="1:11" ht="4.5" customHeight="1">
      <c r="A80" s="334"/>
      <c r="B80" s="308"/>
      <c r="C80" s="321"/>
      <c r="D80" s="335"/>
      <c r="E80" s="307"/>
      <c r="F80" s="321"/>
      <c r="G80" s="307"/>
      <c r="H80" s="322"/>
      <c r="I80" s="302"/>
      <c r="J80" s="302"/>
      <c r="K80" s="305"/>
    </row>
    <row r="81" spans="1:11" ht="11.25">
      <c r="A81" s="331" t="s">
        <v>278</v>
      </c>
      <c r="B81" s="304" t="s">
        <v>279</v>
      </c>
      <c r="C81" s="331"/>
      <c r="D81" s="332"/>
      <c r="E81" s="302"/>
      <c r="F81" s="318"/>
      <c r="G81" s="302"/>
      <c r="H81" s="305"/>
      <c r="I81" s="302"/>
      <c r="J81" s="302"/>
      <c r="K81" s="305"/>
    </row>
    <row r="82" spans="1:11" ht="11.25">
      <c r="A82" s="318"/>
      <c r="B82" s="304" t="s">
        <v>280</v>
      </c>
      <c r="C82" s="331">
        <v>51</v>
      </c>
      <c r="D82" s="332">
        <f aca="true" t="shared" si="8" ref="D82:D87">C82/totalm</f>
        <v>0.24170616113744076</v>
      </c>
      <c r="E82" s="332">
        <f>C82/(totalm-q15nm)</f>
        <v>0.24401913875598086</v>
      </c>
      <c r="F82" s="331">
        <v>119</v>
      </c>
      <c r="G82" s="332">
        <f aca="true" t="shared" si="9" ref="G82:G87">F82/totalf</f>
        <v>0.27419354838709675</v>
      </c>
      <c r="H82" s="333">
        <f>F82/(totalf-q15nf)</f>
        <v>0.2748267898383372</v>
      </c>
      <c r="I82" s="302"/>
      <c r="J82" s="302"/>
      <c r="K82" s="305"/>
    </row>
    <row r="83" spans="1:11" ht="11.25">
      <c r="A83" s="318"/>
      <c r="B83" s="304" t="s">
        <v>281</v>
      </c>
      <c r="C83" s="331">
        <v>112</v>
      </c>
      <c r="D83" s="332">
        <f t="shared" si="8"/>
        <v>0.5308056872037915</v>
      </c>
      <c r="E83" s="332">
        <f>C83/(totalm-q15nm)</f>
        <v>0.5358851674641149</v>
      </c>
      <c r="F83" s="331">
        <v>196</v>
      </c>
      <c r="G83" s="332">
        <f t="shared" si="9"/>
        <v>0.45161290322580644</v>
      </c>
      <c r="H83" s="333">
        <f>F83/(totalf-q15nf)</f>
        <v>0.45265588914549654</v>
      </c>
      <c r="I83" s="302"/>
      <c r="J83" s="302"/>
      <c r="K83" s="305"/>
    </row>
    <row r="84" spans="1:11" ht="11.25">
      <c r="A84" s="318"/>
      <c r="B84" s="304" t="s">
        <v>282</v>
      </c>
      <c r="C84" s="331">
        <v>38</v>
      </c>
      <c r="D84" s="332">
        <f t="shared" si="8"/>
        <v>0.18009478672985782</v>
      </c>
      <c r="E84" s="332">
        <f>C84/(totalm-q15nm)</f>
        <v>0.18181818181818182</v>
      </c>
      <c r="F84" s="331">
        <v>104</v>
      </c>
      <c r="G84" s="332">
        <f t="shared" si="9"/>
        <v>0.23963133640552994</v>
      </c>
      <c r="H84" s="333">
        <f>F84/(totalf-q15nf)</f>
        <v>0.24018475750577367</v>
      </c>
      <c r="I84" s="302"/>
      <c r="J84" s="302"/>
      <c r="K84" s="305"/>
    </row>
    <row r="85" spans="1:11" ht="11.25">
      <c r="A85" s="318"/>
      <c r="B85" s="304" t="s">
        <v>283</v>
      </c>
      <c r="C85" s="331">
        <v>7</v>
      </c>
      <c r="D85" s="332">
        <f t="shared" si="8"/>
        <v>0.03317535545023697</v>
      </c>
      <c r="E85" s="332">
        <f>C85/(totalm-q15nm)</f>
        <v>0.03349282296650718</v>
      </c>
      <c r="F85" s="331">
        <v>14</v>
      </c>
      <c r="G85" s="332">
        <f t="shared" si="9"/>
        <v>0.03225806451612903</v>
      </c>
      <c r="H85" s="333">
        <f>F85/(totalf-q15nf)</f>
        <v>0.03233256351039261</v>
      </c>
      <c r="I85" s="302"/>
      <c r="J85" s="302"/>
      <c r="K85" s="305"/>
    </row>
    <row r="86" spans="1:11" ht="11.25">
      <c r="A86" s="318"/>
      <c r="B86" s="304" t="s">
        <v>284</v>
      </c>
      <c r="C86" s="331">
        <v>1</v>
      </c>
      <c r="D86" s="332">
        <f t="shared" si="8"/>
        <v>0.004739336492890996</v>
      </c>
      <c r="E86" s="332">
        <f>C86/(totalm-q15nm)</f>
        <v>0.004784688995215311</v>
      </c>
      <c r="F86" s="331">
        <v>0</v>
      </c>
      <c r="G86" s="332">
        <f t="shared" si="9"/>
        <v>0</v>
      </c>
      <c r="H86" s="333">
        <f>F86/(totalf-q15nf)</f>
        <v>0</v>
      </c>
      <c r="I86" s="302"/>
      <c r="J86" s="302"/>
      <c r="K86" s="305"/>
    </row>
    <row r="87" spans="1:11" ht="11.25">
      <c r="A87" s="321"/>
      <c r="B87" s="308" t="s">
        <v>18</v>
      </c>
      <c r="C87" s="334">
        <v>2</v>
      </c>
      <c r="D87" s="335">
        <f t="shared" si="8"/>
        <v>0.009478672985781991</v>
      </c>
      <c r="E87" s="324" t="s">
        <v>19</v>
      </c>
      <c r="F87" s="334">
        <v>1</v>
      </c>
      <c r="G87" s="335">
        <f t="shared" si="9"/>
        <v>0.002304147465437788</v>
      </c>
      <c r="H87" s="325" t="s">
        <v>19</v>
      </c>
      <c r="I87" s="302"/>
      <c r="J87" s="302"/>
      <c r="K87" s="305"/>
    </row>
    <row r="88" spans="1:11" ht="11.25">
      <c r="A88" s="331" t="s">
        <v>285</v>
      </c>
      <c r="B88" s="304" t="s">
        <v>286</v>
      </c>
      <c r="C88" s="331"/>
      <c r="D88" s="340"/>
      <c r="E88" s="340"/>
      <c r="F88" s="318"/>
      <c r="G88" s="340"/>
      <c r="H88" s="336"/>
      <c r="I88" s="302"/>
      <c r="J88" s="302"/>
      <c r="K88" s="305"/>
    </row>
    <row r="89" spans="1:11" ht="11.25">
      <c r="A89" s="331"/>
      <c r="B89" s="304" t="s">
        <v>287</v>
      </c>
      <c r="C89" s="331"/>
      <c r="D89" s="302"/>
      <c r="E89" s="302"/>
      <c r="F89" s="318"/>
      <c r="G89" s="302"/>
      <c r="H89" s="305"/>
      <c r="I89" s="302"/>
      <c r="J89" s="302"/>
      <c r="K89" s="305"/>
    </row>
    <row r="90" spans="1:11" ht="11.25">
      <c r="A90" s="318"/>
      <c r="B90" s="304" t="s">
        <v>280</v>
      </c>
      <c r="C90" s="318">
        <v>82</v>
      </c>
      <c r="D90" s="332">
        <f aca="true" t="shared" si="10" ref="D90:D95">C90/totalm</f>
        <v>0.3886255924170616</v>
      </c>
      <c r="E90" s="332">
        <f>C90/(totalm-q16nm)</f>
        <v>0.3923444976076555</v>
      </c>
      <c r="F90" s="331">
        <v>195</v>
      </c>
      <c r="G90" s="332">
        <f aca="true" t="shared" si="11" ref="G90:G95">F90/totalf</f>
        <v>0.44930875576036866</v>
      </c>
      <c r="H90" s="333">
        <f>F90/(totalf-q16nf)</f>
        <v>0.44930875576036866</v>
      </c>
      <c r="I90" s="302"/>
      <c r="J90" s="302"/>
      <c r="K90" s="305"/>
    </row>
    <row r="91" spans="1:11" ht="11.25">
      <c r="A91" s="318"/>
      <c r="B91" s="304" t="s">
        <v>281</v>
      </c>
      <c r="C91" s="318">
        <v>85</v>
      </c>
      <c r="D91" s="332">
        <f t="shared" si="10"/>
        <v>0.4028436018957346</v>
      </c>
      <c r="E91" s="332">
        <f>C91/(totalm-q16nm)</f>
        <v>0.40669856459330145</v>
      </c>
      <c r="F91" s="331">
        <v>147</v>
      </c>
      <c r="G91" s="332">
        <f t="shared" si="11"/>
        <v>0.3387096774193548</v>
      </c>
      <c r="H91" s="333">
        <f>F91/(totalf-q16nf)</f>
        <v>0.3387096774193548</v>
      </c>
      <c r="I91" s="302"/>
      <c r="J91" s="302"/>
      <c r="K91" s="305"/>
    </row>
    <row r="92" spans="1:11" ht="11.25">
      <c r="A92" s="318"/>
      <c r="B92" s="304" t="s">
        <v>282</v>
      </c>
      <c r="C92" s="318">
        <v>37</v>
      </c>
      <c r="D92" s="332">
        <f t="shared" si="10"/>
        <v>0.17535545023696683</v>
      </c>
      <c r="E92" s="332">
        <f>C92/(totalm-q16nm)</f>
        <v>0.17703349282296652</v>
      </c>
      <c r="F92" s="331">
        <v>77</v>
      </c>
      <c r="G92" s="332">
        <f t="shared" si="11"/>
        <v>0.1774193548387097</v>
      </c>
      <c r="H92" s="333">
        <f>F92/(totalf-q16nf)</f>
        <v>0.1774193548387097</v>
      </c>
      <c r="I92" s="302"/>
      <c r="J92" s="302"/>
      <c r="K92" s="305"/>
    </row>
    <row r="93" spans="1:11" ht="11.25">
      <c r="A93" s="318"/>
      <c r="B93" s="304" t="s">
        <v>283</v>
      </c>
      <c r="C93" s="318">
        <v>5</v>
      </c>
      <c r="D93" s="332">
        <f t="shared" si="10"/>
        <v>0.023696682464454975</v>
      </c>
      <c r="E93" s="332">
        <f>C93/(totalm-q16nm)</f>
        <v>0.023923444976076555</v>
      </c>
      <c r="F93" s="331">
        <v>14</v>
      </c>
      <c r="G93" s="332">
        <f t="shared" si="11"/>
        <v>0.03225806451612903</v>
      </c>
      <c r="H93" s="333">
        <f>F93/(totalf-q16nf)</f>
        <v>0.03225806451612903</v>
      </c>
      <c r="I93" s="302"/>
      <c r="J93" s="302"/>
      <c r="K93" s="305"/>
    </row>
    <row r="94" spans="1:11" ht="11.25">
      <c r="A94" s="318"/>
      <c r="B94" s="304" t="s">
        <v>284</v>
      </c>
      <c r="C94" s="318">
        <v>0</v>
      </c>
      <c r="D94" s="332">
        <f t="shared" si="10"/>
        <v>0</v>
      </c>
      <c r="E94" s="332">
        <f>C94/(totalm-q16nm)</f>
        <v>0</v>
      </c>
      <c r="F94" s="331">
        <v>1</v>
      </c>
      <c r="G94" s="332">
        <f t="shared" si="11"/>
        <v>0.002304147465437788</v>
      </c>
      <c r="H94" s="333">
        <f>F94/(totalf-q16nf)</f>
        <v>0.002304147465437788</v>
      </c>
      <c r="I94" s="302"/>
      <c r="J94" s="302"/>
      <c r="K94" s="305"/>
    </row>
    <row r="95" spans="1:11" ht="11.25">
      <c r="A95" s="321"/>
      <c r="B95" s="308" t="s">
        <v>18</v>
      </c>
      <c r="C95" s="321">
        <v>2</v>
      </c>
      <c r="D95" s="335">
        <f t="shared" si="10"/>
        <v>0.009478672985781991</v>
      </c>
      <c r="E95" s="324" t="s">
        <v>19</v>
      </c>
      <c r="F95" s="334">
        <v>0</v>
      </c>
      <c r="G95" s="335">
        <f t="shared" si="11"/>
        <v>0</v>
      </c>
      <c r="H95" s="325" t="s">
        <v>19</v>
      </c>
      <c r="I95" s="321"/>
      <c r="J95" s="307"/>
      <c r="K95" s="322"/>
    </row>
    <row r="96" spans="1:11" ht="11.25">
      <c r="A96" s="296"/>
      <c r="B96" s="298"/>
      <c r="C96" s="296"/>
      <c r="D96" s="354"/>
      <c r="E96" s="314"/>
      <c r="F96" s="298"/>
      <c r="G96" s="354"/>
      <c r="H96" s="314"/>
      <c r="I96" s="296"/>
      <c r="J96" s="296"/>
      <c r="K96" s="296"/>
    </row>
    <row r="97" spans="1:11" ht="11.25">
      <c r="A97" s="302"/>
      <c r="B97" s="304"/>
      <c r="C97" s="302"/>
      <c r="D97" s="332"/>
      <c r="E97" s="319"/>
      <c r="F97" s="304"/>
      <c r="G97" s="332"/>
      <c r="H97" s="319"/>
      <c r="I97" s="302"/>
      <c r="J97" s="302"/>
      <c r="K97" s="302"/>
    </row>
    <row r="98" spans="1:11" ht="11.25">
      <c r="A98" s="302"/>
      <c r="B98" s="304"/>
      <c r="C98" s="302"/>
      <c r="D98" s="332"/>
      <c r="E98" s="319"/>
      <c r="F98" s="304"/>
      <c r="G98" s="332"/>
      <c r="H98" s="319"/>
      <c r="I98" s="302"/>
      <c r="J98" s="302"/>
      <c r="K98" s="302"/>
    </row>
    <row r="99" spans="1:11" ht="12.75">
      <c r="A99" s="295" t="s">
        <v>0</v>
      </c>
      <c r="B99" s="296"/>
      <c r="C99" s="297"/>
      <c r="D99" s="297"/>
      <c r="E99" s="297"/>
      <c r="F99" s="298"/>
      <c r="G99" s="298"/>
      <c r="H99" s="298"/>
      <c r="I99" s="298"/>
      <c r="J99" s="298"/>
      <c r="K99" s="299" t="s">
        <v>306</v>
      </c>
    </row>
    <row r="100" spans="1:11" ht="12.75">
      <c r="A100" s="301" t="s">
        <v>2</v>
      </c>
      <c r="B100" s="302"/>
      <c r="C100" s="303"/>
      <c r="D100" s="303"/>
      <c r="E100" s="303"/>
      <c r="F100" s="304"/>
      <c r="G100" s="304"/>
      <c r="H100" s="304"/>
      <c r="I100" s="304"/>
      <c r="J100" s="304"/>
      <c r="K100" s="305"/>
    </row>
    <row r="101" spans="1:11" ht="12.75">
      <c r="A101" s="6" t="s">
        <v>276</v>
      </c>
      <c r="B101" s="302"/>
      <c r="C101" s="303"/>
      <c r="D101" s="303"/>
      <c r="E101" s="303"/>
      <c r="F101" s="304"/>
      <c r="G101" s="304"/>
      <c r="H101" s="304"/>
      <c r="I101" s="304"/>
      <c r="J101" s="304"/>
      <c r="K101" s="305"/>
    </row>
    <row r="102" spans="1:11" ht="12.75">
      <c r="A102" s="306" t="s">
        <v>277</v>
      </c>
      <c r="B102" s="307"/>
      <c r="C102" s="307"/>
      <c r="D102" s="307"/>
      <c r="E102" s="307"/>
      <c r="F102" s="307"/>
      <c r="G102" s="307"/>
      <c r="H102" s="308"/>
      <c r="I102" s="308"/>
      <c r="J102" s="308"/>
      <c r="K102" s="309"/>
    </row>
    <row r="103" spans="1:11" ht="12.75">
      <c r="A103" s="312"/>
      <c r="B103" s="313"/>
      <c r="C103" s="342" t="s">
        <v>153</v>
      </c>
      <c r="D103" s="355"/>
      <c r="E103" s="355"/>
      <c r="F103" s="342" t="s">
        <v>154</v>
      </c>
      <c r="G103" s="344"/>
      <c r="H103" s="345"/>
      <c r="I103" s="302"/>
      <c r="J103" s="302"/>
      <c r="K103" s="305"/>
    </row>
    <row r="104" spans="1:11" ht="11.25">
      <c r="A104" s="318"/>
      <c r="B104" s="305"/>
      <c r="C104" s="346"/>
      <c r="D104" s="347" t="s">
        <v>5</v>
      </c>
      <c r="E104" s="347" t="s">
        <v>5</v>
      </c>
      <c r="F104" s="346"/>
      <c r="G104" s="347" t="s">
        <v>5</v>
      </c>
      <c r="H104" s="299" t="s">
        <v>5</v>
      </c>
      <c r="I104" s="302"/>
      <c r="J104" s="302"/>
      <c r="K104" s="305"/>
    </row>
    <row r="105" spans="1:11" ht="11.25">
      <c r="A105" s="317" t="s">
        <v>155</v>
      </c>
      <c r="B105" s="305"/>
      <c r="C105" s="348"/>
      <c r="D105" s="349" t="s">
        <v>7</v>
      </c>
      <c r="E105" s="349" t="s">
        <v>8</v>
      </c>
      <c r="F105" s="348"/>
      <c r="G105" s="349" t="s">
        <v>7</v>
      </c>
      <c r="H105" s="350" t="s">
        <v>8</v>
      </c>
      <c r="I105" s="302"/>
      <c r="J105" s="302"/>
      <c r="K105" s="305"/>
    </row>
    <row r="106" spans="1:11" ht="11.25">
      <c r="A106" s="321"/>
      <c r="B106" s="322"/>
      <c r="C106" s="351" t="s">
        <v>9</v>
      </c>
      <c r="D106" s="352" t="s">
        <v>10</v>
      </c>
      <c r="E106" s="352" t="s">
        <v>10</v>
      </c>
      <c r="F106" s="351" t="s">
        <v>9</v>
      </c>
      <c r="G106" s="352" t="s">
        <v>10</v>
      </c>
      <c r="H106" s="353" t="s">
        <v>10</v>
      </c>
      <c r="I106" s="302"/>
      <c r="J106" s="302"/>
      <c r="K106" s="305"/>
    </row>
    <row r="107" spans="1:11" ht="11.25">
      <c r="A107" s="331" t="s">
        <v>288</v>
      </c>
      <c r="B107" s="304" t="s">
        <v>289</v>
      </c>
      <c r="C107" s="318"/>
      <c r="D107" s="332"/>
      <c r="E107" s="332"/>
      <c r="F107" s="318"/>
      <c r="G107" s="332"/>
      <c r="H107" s="333"/>
      <c r="I107" s="302"/>
      <c r="J107" s="302"/>
      <c r="K107" s="305"/>
    </row>
    <row r="108" spans="1:11" ht="11.25">
      <c r="A108" s="331"/>
      <c r="B108" s="304" t="s">
        <v>290</v>
      </c>
      <c r="C108" s="318"/>
      <c r="D108" s="332"/>
      <c r="E108" s="332"/>
      <c r="F108" s="318"/>
      <c r="G108" s="332"/>
      <c r="H108" s="333"/>
      <c r="I108" s="302"/>
      <c r="J108" s="302"/>
      <c r="K108" s="305"/>
    </row>
    <row r="109" spans="1:11" ht="11.25">
      <c r="A109" s="318"/>
      <c r="B109" s="304" t="s">
        <v>280</v>
      </c>
      <c r="C109" s="318">
        <v>31</v>
      </c>
      <c r="D109" s="332">
        <f aca="true" t="shared" si="12" ref="D109:D114">C109/totalm</f>
        <v>0.14691943127962084</v>
      </c>
      <c r="E109" s="332">
        <f>C109/(totalm-q17nm)</f>
        <v>0.14832535885167464</v>
      </c>
      <c r="F109" s="331">
        <v>115</v>
      </c>
      <c r="G109" s="332">
        <f aca="true" t="shared" si="13" ref="G109:G114">F109/totalf</f>
        <v>0.26497695852534564</v>
      </c>
      <c r="H109" s="333">
        <f>F109/(totalf-q17nf)</f>
        <v>0.26497695852534564</v>
      </c>
      <c r="I109" s="302"/>
      <c r="J109" s="302"/>
      <c r="K109" s="305"/>
    </row>
    <row r="110" spans="1:11" ht="11.25">
      <c r="A110" s="318"/>
      <c r="B110" s="304" t="s">
        <v>281</v>
      </c>
      <c r="C110" s="318">
        <v>89</v>
      </c>
      <c r="D110" s="332">
        <f t="shared" si="12"/>
        <v>0.4218009478672986</v>
      </c>
      <c r="E110" s="332">
        <f>C110/(totalm-q17nm)</f>
        <v>0.4258373205741627</v>
      </c>
      <c r="F110" s="331">
        <v>179</v>
      </c>
      <c r="G110" s="332">
        <f t="shared" si="13"/>
        <v>0.41244239631336405</v>
      </c>
      <c r="H110" s="333">
        <f>F110/(totalf-q17nf)</f>
        <v>0.41244239631336405</v>
      </c>
      <c r="I110" s="302"/>
      <c r="J110" s="302"/>
      <c r="K110" s="305"/>
    </row>
    <row r="111" spans="1:11" ht="11.25">
      <c r="A111" s="318"/>
      <c r="B111" s="304" t="s">
        <v>282</v>
      </c>
      <c r="C111" s="318">
        <v>63</v>
      </c>
      <c r="D111" s="332">
        <f t="shared" si="12"/>
        <v>0.2985781990521327</v>
      </c>
      <c r="E111" s="332">
        <f>C111/(totalm-q17nm)</f>
        <v>0.3014354066985646</v>
      </c>
      <c r="F111" s="331">
        <v>111</v>
      </c>
      <c r="G111" s="332">
        <f t="shared" si="13"/>
        <v>0.2557603686635945</v>
      </c>
      <c r="H111" s="333">
        <f>F111/(totalf-q17nf)</f>
        <v>0.2557603686635945</v>
      </c>
      <c r="I111" s="302"/>
      <c r="J111" s="302"/>
      <c r="K111" s="305"/>
    </row>
    <row r="112" spans="1:11" ht="11.25">
      <c r="A112" s="318"/>
      <c r="B112" s="304" t="s">
        <v>283</v>
      </c>
      <c r="C112" s="318">
        <v>25</v>
      </c>
      <c r="D112" s="332">
        <f t="shared" si="12"/>
        <v>0.11848341232227488</v>
      </c>
      <c r="E112" s="332">
        <f>C112/(totalm-q17nm)</f>
        <v>0.11961722488038277</v>
      </c>
      <c r="F112" s="331">
        <v>24</v>
      </c>
      <c r="G112" s="332">
        <f t="shared" si="13"/>
        <v>0.055299539170506916</v>
      </c>
      <c r="H112" s="333">
        <f>F112/(totalf-q17nf)</f>
        <v>0.055299539170506916</v>
      </c>
      <c r="I112" s="302"/>
      <c r="J112" s="302"/>
      <c r="K112" s="305"/>
    </row>
    <row r="113" spans="1:11" ht="11.25">
      <c r="A113" s="318"/>
      <c r="B113" s="304" t="s">
        <v>284</v>
      </c>
      <c r="C113" s="318">
        <v>1</v>
      </c>
      <c r="D113" s="332">
        <f t="shared" si="12"/>
        <v>0.004739336492890996</v>
      </c>
      <c r="E113" s="332">
        <f>C113/(totalm-q17nm)</f>
        <v>0.004784688995215311</v>
      </c>
      <c r="F113" s="331">
        <v>5</v>
      </c>
      <c r="G113" s="332">
        <f t="shared" si="13"/>
        <v>0.01152073732718894</v>
      </c>
      <c r="H113" s="333">
        <f>F113/(totalf-q17nf)</f>
        <v>0.01152073732718894</v>
      </c>
      <c r="I113" s="302"/>
      <c r="J113" s="302"/>
      <c r="K113" s="305"/>
    </row>
    <row r="114" spans="1:11" ht="11.25">
      <c r="A114" s="321"/>
      <c r="B114" s="308" t="s">
        <v>18</v>
      </c>
      <c r="C114" s="321">
        <v>2</v>
      </c>
      <c r="D114" s="335">
        <f t="shared" si="12"/>
        <v>0.009478672985781991</v>
      </c>
      <c r="E114" s="324" t="s">
        <v>19</v>
      </c>
      <c r="F114" s="334">
        <v>0</v>
      </c>
      <c r="G114" s="335">
        <f t="shared" si="13"/>
        <v>0</v>
      </c>
      <c r="H114" s="325" t="s">
        <v>19</v>
      </c>
      <c r="I114" s="302"/>
      <c r="J114" s="302"/>
      <c r="K114" s="305"/>
    </row>
    <row r="115" spans="1:11" ht="11.25">
      <c r="A115" s="331" t="s">
        <v>291</v>
      </c>
      <c r="B115" s="304" t="s">
        <v>292</v>
      </c>
      <c r="C115" s="318"/>
      <c r="D115" s="340"/>
      <c r="E115" s="340"/>
      <c r="F115" s="318"/>
      <c r="G115" s="340"/>
      <c r="H115" s="336"/>
      <c r="I115" s="302"/>
      <c r="J115" s="302"/>
      <c r="K115" s="305"/>
    </row>
    <row r="116" spans="1:11" ht="11.25">
      <c r="A116" s="318"/>
      <c r="B116" s="304" t="s">
        <v>293</v>
      </c>
      <c r="C116" s="318"/>
      <c r="D116" s="302"/>
      <c r="E116" s="302"/>
      <c r="F116" s="318"/>
      <c r="G116" s="302"/>
      <c r="H116" s="305"/>
      <c r="I116" s="302"/>
      <c r="J116" s="302"/>
      <c r="K116" s="305"/>
    </row>
    <row r="117" spans="1:11" ht="11.25">
      <c r="A117" s="318"/>
      <c r="B117" s="304" t="s">
        <v>280</v>
      </c>
      <c r="C117" s="318">
        <v>32</v>
      </c>
      <c r="D117" s="332">
        <f aca="true" t="shared" si="14" ref="D117:D122">C117/totalm</f>
        <v>0.15165876777251186</v>
      </c>
      <c r="E117" s="332">
        <f>C117/(totalm-q18nm)</f>
        <v>0.15311004784688995</v>
      </c>
      <c r="F117" s="331">
        <v>118</v>
      </c>
      <c r="G117" s="332">
        <f aca="true" t="shared" si="15" ref="G117:G122">F117/totalf</f>
        <v>0.271889400921659</v>
      </c>
      <c r="H117" s="333">
        <f>F117/(totalf-q18nf)</f>
        <v>0.271889400921659</v>
      </c>
      <c r="I117" s="302"/>
      <c r="J117" s="302"/>
      <c r="K117" s="305"/>
    </row>
    <row r="118" spans="1:11" ht="11.25">
      <c r="A118" s="318"/>
      <c r="B118" s="304" t="s">
        <v>281</v>
      </c>
      <c r="C118" s="318">
        <v>129</v>
      </c>
      <c r="D118" s="332">
        <f t="shared" si="14"/>
        <v>0.6113744075829384</v>
      </c>
      <c r="E118" s="332">
        <f>C118/(totalm-q18nm)</f>
        <v>0.6172248803827751</v>
      </c>
      <c r="F118" s="331">
        <v>220</v>
      </c>
      <c r="G118" s="332">
        <f t="shared" si="15"/>
        <v>0.5069124423963134</v>
      </c>
      <c r="H118" s="333">
        <f>F118/(totalf-q18nf)</f>
        <v>0.5069124423963134</v>
      </c>
      <c r="I118" s="302"/>
      <c r="J118" s="302"/>
      <c r="K118" s="305"/>
    </row>
    <row r="119" spans="1:11" ht="11.25">
      <c r="A119" s="318"/>
      <c r="B119" s="304" t="s">
        <v>282</v>
      </c>
      <c r="C119" s="318">
        <v>37</v>
      </c>
      <c r="D119" s="332">
        <f t="shared" si="14"/>
        <v>0.17535545023696683</v>
      </c>
      <c r="E119" s="332">
        <f>C119/(totalm-q18nm)</f>
        <v>0.17703349282296652</v>
      </c>
      <c r="F119" s="331">
        <v>79</v>
      </c>
      <c r="G119" s="332">
        <f t="shared" si="15"/>
        <v>0.18202764976958524</v>
      </c>
      <c r="H119" s="333">
        <f>F119/(totalf-q18nf)</f>
        <v>0.18202764976958524</v>
      </c>
      <c r="I119" s="302"/>
      <c r="J119" s="302"/>
      <c r="K119" s="305"/>
    </row>
    <row r="120" spans="1:11" ht="11.25">
      <c r="A120" s="318"/>
      <c r="B120" s="304" t="s">
        <v>283</v>
      </c>
      <c r="C120" s="318">
        <v>10</v>
      </c>
      <c r="D120" s="332">
        <f t="shared" si="14"/>
        <v>0.04739336492890995</v>
      </c>
      <c r="E120" s="332">
        <f>C120/(totalm-q18nm)</f>
        <v>0.04784688995215311</v>
      </c>
      <c r="F120" s="331">
        <v>17</v>
      </c>
      <c r="G120" s="332">
        <f t="shared" si="15"/>
        <v>0.03917050691244239</v>
      </c>
      <c r="H120" s="333">
        <f>F120/(totalf-q18nf)</f>
        <v>0.03917050691244239</v>
      </c>
      <c r="I120" s="302"/>
      <c r="J120" s="302"/>
      <c r="K120" s="305"/>
    </row>
    <row r="121" spans="1:11" ht="11.25">
      <c r="A121" s="318"/>
      <c r="B121" s="304" t="s">
        <v>284</v>
      </c>
      <c r="C121" s="318">
        <v>1</v>
      </c>
      <c r="D121" s="332">
        <f t="shared" si="14"/>
        <v>0.004739336492890996</v>
      </c>
      <c r="E121" s="332">
        <f>C121/(totalm-q18nm)</f>
        <v>0.004784688995215311</v>
      </c>
      <c r="F121" s="331">
        <v>0</v>
      </c>
      <c r="G121" s="332">
        <f t="shared" si="15"/>
        <v>0</v>
      </c>
      <c r="H121" s="333">
        <f>F121/(totalf-q18nf)</f>
        <v>0</v>
      </c>
      <c r="I121" s="302"/>
      <c r="J121" s="302"/>
      <c r="K121" s="305"/>
    </row>
    <row r="122" spans="1:11" ht="11.25">
      <c r="A122" s="321"/>
      <c r="B122" s="308" t="s">
        <v>18</v>
      </c>
      <c r="C122" s="321">
        <v>2</v>
      </c>
      <c r="D122" s="335">
        <f t="shared" si="14"/>
        <v>0.009478672985781991</v>
      </c>
      <c r="E122" s="324" t="s">
        <v>19</v>
      </c>
      <c r="F122" s="334">
        <v>0</v>
      </c>
      <c r="G122" s="335">
        <f t="shared" si="15"/>
        <v>0</v>
      </c>
      <c r="H122" s="325" t="s">
        <v>19</v>
      </c>
      <c r="I122" s="318"/>
      <c r="J122" s="302"/>
      <c r="K122" s="305"/>
    </row>
    <row r="123" spans="1:11" ht="11.25">
      <c r="A123" s="337" t="s">
        <v>294</v>
      </c>
      <c r="B123" s="304" t="s">
        <v>295</v>
      </c>
      <c r="C123" s="318"/>
      <c r="D123" s="340"/>
      <c r="E123" s="340"/>
      <c r="F123" s="318"/>
      <c r="G123" s="340"/>
      <c r="H123" s="336"/>
      <c r="I123" s="302"/>
      <c r="J123" s="302"/>
      <c r="K123" s="305"/>
    </row>
    <row r="124" spans="1:11" ht="11.25">
      <c r="A124" s="318"/>
      <c r="B124" s="304" t="s">
        <v>296</v>
      </c>
      <c r="C124" s="318"/>
      <c r="D124" s="302"/>
      <c r="E124" s="302"/>
      <c r="F124" s="318"/>
      <c r="G124" s="302"/>
      <c r="H124" s="305"/>
      <c r="I124" s="302"/>
      <c r="J124" s="302"/>
      <c r="K124" s="305"/>
    </row>
    <row r="125" spans="1:11" ht="11.25">
      <c r="A125" s="318"/>
      <c r="B125" s="304" t="s">
        <v>280</v>
      </c>
      <c r="C125" s="318">
        <v>40</v>
      </c>
      <c r="D125" s="332">
        <f aca="true" t="shared" si="16" ref="D125:D130">C125/totalm</f>
        <v>0.1895734597156398</v>
      </c>
      <c r="E125" s="332">
        <f>C125/(totalm-q19nm)</f>
        <v>0.19230769230769232</v>
      </c>
      <c r="F125" s="331">
        <v>163</v>
      </c>
      <c r="G125" s="332">
        <f aca="true" t="shared" si="17" ref="G125:G130">F125/totalf</f>
        <v>0.37557603686635943</v>
      </c>
      <c r="H125" s="333">
        <f>F125/(totalf-q19nf)</f>
        <v>0.37557603686635943</v>
      </c>
      <c r="I125" s="302"/>
      <c r="J125" s="302"/>
      <c r="K125" s="305"/>
    </row>
    <row r="126" spans="1:11" ht="11.25">
      <c r="A126" s="318"/>
      <c r="B126" s="304" t="s">
        <v>281</v>
      </c>
      <c r="C126" s="318">
        <v>122</v>
      </c>
      <c r="D126" s="332">
        <f t="shared" si="16"/>
        <v>0.5781990521327014</v>
      </c>
      <c r="E126" s="332">
        <f>C126/(totalm-q19nm)</f>
        <v>0.5865384615384616</v>
      </c>
      <c r="F126" s="331">
        <v>196</v>
      </c>
      <c r="G126" s="332">
        <f t="shared" si="17"/>
        <v>0.45161290322580644</v>
      </c>
      <c r="H126" s="333">
        <f>F126/(totalf-q19nf)</f>
        <v>0.45161290322580644</v>
      </c>
      <c r="I126" s="302"/>
      <c r="J126" s="302"/>
      <c r="K126" s="305"/>
    </row>
    <row r="127" spans="1:11" ht="11.25">
      <c r="A127" s="318"/>
      <c r="B127" s="304" t="s">
        <v>282</v>
      </c>
      <c r="C127" s="318">
        <v>42</v>
      </c>
      <c r="D127" s="332">
        <f t="shared" si="16"/>
        <v>0.1990521327014218</v>
      </c>
      <c r="E127" s="332">
        <f>C127/(totalm-q19nm)</f>
        <v>0.20192307692307693</v>
      </c>
      <c r="F127" s="331">
        <v>68</v>
      </c>
      <c r="G127" s="332">
        <f t="shared" si="17"/>
        <v>0.15668202764976957</v>
      </c>
      <c r="H127" s="333">
        <f>F127/(totalf-q19nf)</f>
        <v>0.15668202764976957</v>
      </c>
      <c r="I127" s="302"/>
      <c r="J127" s="302"/>
      <c r="K127" s="305"/>
    </row>
    <row r="128" spans="1:11" ht="11.25">
      <c r="A128" s="318"/>
      <c r="B128" s="304" t="s">
        <v>283</v>
      </c>
      <c r="C128" s="318">
        <v>4</v>
      </c>
      <c r="D128" s="332">
        <f t="shared" si="16"/>
        <v>0.018957345971563982</v>
      </c>
      <c r="E128" s="332">
        <f>C128/(totalm-q19nm)</f>
        <v>0.019230769230769232</v>
      </c>
      <c r="F128" s="331">
        <v>6</v>
      </c>
      <c r="G128" s="332">
        <f t="shared" si="17"/>
        <v>0.013824884792626729</v>
      </c>
      <c r="H128" s="333">
        <f>F128/(totalf-q19nf)</f>
        <v>0.013824884792626729</v>
      </c>
      <c r="I128" s="302"/>
      <c r="J128" s="302"/>
      <c r="K128" s="305"/>
    </row>
    <row r="129" spans="1:11" ht="11.25">
      <c r="A129" s="318"/>
      <c r="B129" s="304" t="s">
        <v>284</v>
      </c>
      <c r="C129" s="318">
        <v>0</v>
      </c>
      <c r="D129" s="332">
        <f t="shared" si="16"/>
        <v>0</v>
      </c>
      <c r="E129" s="332">
        <f>C129/(totalm-q19nm)</f>
        <v>0</v>
      </c>
      <c r="F129" s="331">
        <v>1</v>
      </c>
      <c r="G129" s="332">
        <f t="shared" si="17"/>
        <v>0.002304147465437788</v>
      </c>
      <c r="H129" s="333">
        <f>F129/(totalf-q19nf)</f>
        <v>0.002304147465437788</v>
      </c>
      <c r="I129" s="302"/>
      <c r="J129" s="302"/>
      <c r="K129" s="305"/>
    </row>
    <row r="130" spans="1:11" ht="11.25">
      <c r="A130" s="321"/>
      <c r="B130" s="308" t="s">
        <v>18</v>
      </c>
      <c r="C130" s="321">
        <v>3</v>
      </c>
      <c r="D130" s="335">
        <f t="shared" si="16"/>
        <v>0.014218009478672985</v>
      </c>
      <c r="E130" s="324" t="s">
        <v>19</v>
      </c>
      <c r="F130" s="334">
        <v>0</v>
      </c>
      <c r="G130" s="335">
        <f t="shared" si="17"/>
        <v>0</v>
      </c>
      <c r="H130" s="325" t="s">
        <v>19</v>
      </c>
      <c r="I130" s="318"/>
      <c r="J130" s="302"/>
      <c r="K130" s="305"/>
    </row>
    <row r="131" spans="1:11" ht="11.25">
      <c r="A131" s="337" t="s">
        <v>298</v>
      </c>
      <c r="B131" s="304" t="s">
        <v>299</v>
      </c>
      <c r="C131" s="318"/>
      <c r="D131" s="340"/>
      <c r="E131" s="340"/>
      <c r="F131" s="318"/>
      <c r="G131" s="340"/>
      <c r="H131" s="336"/>
      <c r="I131" s="302"/>
      <c r="J131" s="302"/>
      <c r="K131" s="305"/>
    </row>
    <row r="132" spans="1:11" ht="11.25">
      <c r="A132" s="318"/>
      <c r="B132" s="304" t="s">
        <v>280</v>
      </c>
      <c r="C132" s="318">
        <v>32</v>
      </c>
      <c r="D132" s="332">
        <f aca="true" t="shared" si="18" ref="D132:D137">C132/totalm</f>
        <v>0.15165876777251186</v>
      </c>
      <c r="E132" s="332">
        <f>C132/(totalm-q20nm)</f>
        <v>0.15311004784688995</v>
      </c>
      <c r="F132" s="331">
        <v>112</v>
      </c>
      <c r="G132" s="332">
        <f aca="true" t="shared" si="19" ref="G132:G137">F132/totalf</f>
        <v>0.25806451612903225</v>
      </c>
      <c r="H132" s="333">
        <f>F132/(totalf-q20nf)</f>
        <v>0.25806451612903225</v>
      </c>
      <c r="I132" s="302"/>
      <c r="J132" s="302"/>
      <c r="K132" s="305"/>
    </row>
    <row r="133" spans="1:11" ht="11.25">
      <c r="A133" s="318"/>
      <c r="B133" s="304" t="s">
        <v>281</v>
      </c>
      <c r="C133" s="318">
        <v>119</v>
      </c>
      <c r="D133" s="332">
        <f t="shared" si="18"/>
        <v>0.5639810426540285</v>
      </c>
      <c r="E133" s="332">
        <f>C133/(totalm-q20nm)</f>
        <v>0.569377990430622</v>
      </c>
      <c r="F133" s="331">
        <v>216</v>
      </c>
      <c r="G133" s="332">
        <f t="shared" si="19"/>
        <v>0.4976958525345622</v>
      </c>
      <c r="H133" s="333">
        <f>F133/(totalf-q20nf)</f>
        <v>0.4976958525345622</v>
      </c>
      <c r="I133" s="302"/>
      <c r="J133" s="302"/>
      <c r="K133" s="305"/>
    </row>
    <row r="134" spans="1:11" ht="11.25">
      <c r="A134" s="318"/>
      <c r="B134" s="304" t="s">
        <v>282</v>
      </c>
      <c r="C134" s="318">
        <v>46</v>
      </c>
      <c r="D134" s="332">
        <f t="shared" si="18"/>
        <v>0.21800947867298578</v>
      </c>
      <c r="E134" s="332">
        <f>C134/(totalm-q20nm)</f>
        <v>0.22009569377990432</v>
      </c>
      <c r="F134" s="331">
        <v>95</v>
      </c>
      <c r="G134" s="332">
        <f t="shared" si="19"/>
        <v>0.21889400921658986</v>
      </c>
      <c r="H134" s="333">
        <f>F134/(totalf-q20nf)</f>
        <v>0.21889400921658986</v>
      </c>
      <c r="I134" s="302"/>
      <c r="J134" s="302"/>
      <c r="K134" s="305"/>
    </row>
    <row r="135" spans="1:11" ht="11.25">
      <c r="A135" s="318"/>
      <c r="B135" s="304" t="s">
        <v>283</v>
      </c>
      <c r="C135" s="318">
        <v>11</v>
      </c>
      <c r="D135" s="332">
        <f t="shared" si="18"/>
        <v>0.052132701421800945</v>
      </c>
      <c r="E135" s="332">
        <f>C135/(totalm-q20nm)</f>
        <v>0.05263157894736842</v>
      </c>
      <c r="F135" s="331">
        <v>11</v>
      </c>
      <c r="G135" s="332">
        <f t="shared" si="19"/>
        <v>0.02534562211981567</v>
      </c>
      <c r="H135" s="333">
        <f>F135/(totalf-q20nf)</f>
        <v>0.02534562211981567</v>
      </c>
      <c r="I135" s="302"/>
      <c r="J135" s="302"/>
      <c r="K135" s="305"/>
    </row>
    <row r="136" spans="1:11" ht="11.25">
      <c r="A136" s="318"/>
      <c r="B136" s="304" t="s">
        <v>284</v>
      </c>
      <c r="C136" s="318">
        <v>1</v>
      </c>
      <c r="D136" s="332">
        <f t="shared" si="18"/>
        <v>0.004739336492890996</v>
      </c>
      <c r="E136" s="332">
        <f>C136/(totalm-q20nm)</f>
        <v>0.004784688995215311</v>
      </c>
      <c r="F136" s="331">
        <v>0</v>
      </c>
      <c r="G136" s="332">
        <f t="shared" si="19"/>
        <v>0</v>
      </c>
      <c r="H136" s="333">
        <f>F136/(totalf-q20nf)</f>
        <v>0</v>
      </c>
      <c r="I136" s="302"/>
      <c r="J136" s="302"/>
      <c r="K136" s="305"/>
    </row>
    <row r="137" spans="1:11" ht="11.25">
      <c r="A137" s="321"/>
      <c r="B137" s="308" t="s">
        <v>18</v>
      </c>
      <c r="C137" s="321">
        <v>2</v>
      </c>
      <c r="D137" s="335">
        <f t="shared" si="18"/>
        <v>0.009478672985781991</v>
      </c>
      <c r="E137" s="324" t="s">
        <v>19</v>
      </c>
      <c r="F137" s="334">
        <v>0</v>
      </c>
      <c r="G137" s="335">
        <f t="shared" si="19"/>
        <v>0</v>
      </c>
      <c r="H137" s="325" t="s">
        <v>19</v>
      </c>
      <c r="I137" s="318"/>
      <c r="J137" s="302"/>
      <c r="K137" s="305"/>
    </row>
    <row r="138" spans="1:11" ht="11.25">
      <c r="A138" s="337" t="s">
        <v>300</v>
      </c>
      <c r="B138" s="304" t="s">
        <v>301</v>
      </c>
      <c r="C138" s="318"/>
      <c r="D138" s="340"/>
      <c r="E138" s="340"/>
      <c r="F138" s="318"/>
      <c r="G138" s="340"/>
      <c r="H138" s="336"/>
      <c r="I138" s="302"/>
      <c r="J138" s="302"/>
      <c r="K138" s="305"/>
    </row>
    <row r="139" spans="1:11" ht="11.25">
      <c r="A139" s="318"/>
      <c r="B139" s="304" t="s">
        <v>302</v>
      </c>
      <c r="C139" s="318"/>
      <c r="D139" s="302"/>
      <c r="E139" s="302"/>
      <c r="F139" s="318"/>
      <c r="G139" s="302"/>
      <c r="H139" s="305"/>
      <c r="I139" s="302"/>
      <c r="J139" s="302"/>
      <c r="K139" s="305"/>
    </row>
    <row r="140" spans="1:11" ht="11.25">
      <c r="A140" s="318"/>
      <c r="B140" s="304" t="s">
        <v>280</v>
      </c>
      <c r="C140" s="318">
        <v>73</v>
      </c>
      <c r="D140" s="332">
        <f aca="true" t="shared" si="20" ref="D140:D145">C140/totalm</f>
        <v>0.3459715639810427</v>
      </c>
      <c r="E140" s="332">
        <f>C140/(totalm-q21nm)</f>
        <v>0.3492822966507177</v>
      </c>
      <c r="F140" s="331">
        <v>193</v>
      </c>
      <c r="G140" s="332">
        <f aca="true" t="shared" si="21" ref="G140:G145">F140/totalf</f>
        <v>0.4447004608294931</v>
      </c>
      <c r="H140" s="333">
        <f>F140/(totalf-q21nf)</f>
        <v>0.4457274826789838</v>
      </c>
      <c r="I140" s="302"/>
      <c r="J140" s="302"/>
      <c r="K140" s="305"/>
    </row>
    <row r="141" spans="1:11" ht="11.25">
      <c r="A141" s="318"/>
      <c r="B141" s="304" t="s">
        <v>281</v>
      </c>
      <c r="C141" s="318">
        <v>98</v>
      </c>
      <c r="D141" s="332">
        <f t="shared" si="20"/>
        <v>0.46445497630331756</v>
      </c>
      <c r="E141" s="332">
        <f>C141/(totalm-q21nm)</f>
        <v>0.4688995215311005</v>
      </c>
      <c r="F141" s="331">
        <v>181</v>
      </c>
      <c r="G141" s="332">
        <f t="shared" si="21"/>
        <v>0.41705069124423966</v>
      </c>
      <c r="H141" s="333">
        <f>F141/(totalf-q21nf)</f>
        <v>0.418013856812933</v>
      </c>
      <c r="I141" s="302"/>
      <c r="J141" s="302"/>
      <c r="K141" s="305"/>
    </row>
    <row r="142" spans="1:11" ht="11.25">
      <c r="A142" s="318"/>
      <c r="B142" s="304" t="s">
        <v>282</v>
      </c>
      <c r="C142" s="318">
        <v>33</v>
      </c>
      <c r="D142" s="332">
        <f t="shared" si="20"/>
        <v>0.15639810426540285</v>
      </c>
      <c r="E142" s="332">
        <f>C142/(totalm-q21nm)</f>
        <v>0.15789473684210525</v>
      </c>
      <c r="F142" s="331">
        <v>49</v>
      </c>
      <c r="G142" s="332">
        <f t="shared" si="21"/>
        <v>0.11290322580645161</v>
      </c>
      <c r="H142" s="333">
        <f>F142/(totalf-q21nf)</f>
        <v>0.11316397228637413</v>
      </c>
      <c r="I142" s="302"/>
      <c r="J142" s="302"/>
      <c r="K142" s="305"/>
    </row>
    <row r="143" spans="1:11" ht="11.25">
      <c r="A143" s="318"/>
      <c r="B143" s="304" t="s">
        <v>283</v>
      </c>
      <c r="C143" s="318">
        <v>5</v>
      </c>
      <c r="D143" s="332">
        <f t="shared" si="20"/>
        <v>0.023696682464454975</v>
      </c>
      <c r="E143" s="332">
        <f>C143/(totalm-q21nm)</f>
        <v>0.023923444976076555</v>
      </c>
      <c r="F143" s="331">
        <v>10</v>
      </c>
      <c r="G143" s="332">
        <f t="shared" si="21"/>
        <v>0.02304147465437788</v>
      </c>
      <c r="H143" s="333">
        <f>F143/(totalf-q21nf)</f>
        <v>0.023094688221709007</v>
      </c>
      <c r="I143" s="302"/>
      <c r="J143" s="302"/>
      <c r="K143" s="305"/>
    </row>
    <row r="144" spans="1:11" ht="11.25">
      <c r="A144" s="318"/>
      <c r="B144" s="304" t="s">
        <v>284</v>
      </c>
      <c r="C144" s="318">
        <v>0</v>
      </c>
      <c r="D144" s="332">
        <f t="shared" si="20"/>
        <v>0</v>
      </c>
      <c r="E144" s="332">
        <f>C144/(totalm-q21nm)</f>
        <v>0</v>
      </c>
      <c r="F144" s="331">
        <v>0</v>
      </c>
      <c r="G144" s="332">
        <f t="shared" si="21"/>
        <v>0</v>
      </c>
      <c r="H144" s="333">
        <f>F144/(totalf-q21nf)</f>
        <v>0</v>
      </c>
      <c r="I144" s="302"/>
      <c r="J144" s="302"/>
      <c r="K144" s="305"/>
    </row>
    <row r="145" spans="1:11" ht="11.25">
      <c r="A145" s="321"/>
      <c r="B145" s="308" t="s">
        <v>18</v>
      </c>
      <c r="C145" s="321">
        <v>2</v>
      </c>
      <c r="D145" s="335">
        <f t="shared" si="20"/>
        <v>0.009478672985781991</v>
      </c>
      <c r="E145" s="324" t="s">
        <v>19</v>
      </c>
      <c r="F145" s="334">
        <v>1</v>
      </c>
      <c r="G145" s="335">
        <f t="shared" si="21"/>
        <v>0.002304147465437788</v>
      </c>
      <c r="H145" s="325" t="s">
        <v>19</v>
      </c>
      <c r="I145" s="307"/>
      <c r="J145" s="307"/>
      <c r="K145" s="322"/>
    </row>
    <row r="146" spans="1:11" ht="12.75">
      <c r="A146" s="295" t="s">
        <v>0</v>
      </c>
      <c r="B146" s="296"/>
      <c r="C146" s="297"/>
      <c r="D146" s="297"/>
      <c r="E146" s="297"/>
      <c r="F146" s="298"/>
      <c r="G146" s="298"/>
      <c r="H146" s="298"/>
      <c r="I146" s="298"/>
      <c r="J146" s="298"/>
      <c r="K146" s="299" t="s">
        <v>307</v>
      </c>
    </row>
    <row r="147" spans="1:11" ht="12.75">
      <c r="A147" s="301" t="s">
        <v>2</v>
      </c>
      <c r="B147" s="302"/>
      <c r="C147" s="303"/>
      <c r="D147" s="303"/>
      <c r="E147" s="303"/>
      <c r="F147" s="304"/>
      <c r="G147" s="304"/>
      <c r="H147" s="304"/>
      <c r="I147" s="304"/>
      <c r="J147" s="304"/>
      <c r="K147" s="305"/>
    </row>
    <row r="148" spans="1:11" ht="12.75">
      <c r="A148" s="6" t="s">
        <v>276</v>
      </c>
      <c r="B148" s="302"/>
      <c r="C148" s="303"/>
      <c r="D148" s="303"/>
      <c r="E148" s="303"/>
      <c r="F148" s="304"/>
      <c r="G148" s="304"/>
      <c r="H148" s="304"/>
      <c r="I148" s="304"/>
      <c r="J148" s="304"/>
      <c r="K148" s="305"/>
    </row>
    <row r="149" spans="1:11" ht="12.75">
      <c r="A149" s="306" t="s">
        <v>277</v>
      </c>
      <c r="B149" s="307"/>
      <c r="C149" s="307"/>
      <c r="D149" s="307"/>
      <c r="E149" s="307"/>
      <c r="F149" s="307"/>
      <c r="G149" s="307"/>
      <c r="H149" s="308"/>
      <c r="I149" s="308"/>
      <c r="J149" s="308"/>
      <c r="K149" s="309"/>
    </row>
    <row r="150" spans="1:11" ht="12.75">
      <c r="A150" s="312"/>
      <c r="B150" s="313"/>
      <c r="C150" s="342" t="s">
        <v>153</v>
      </c>
      <c r="D150" s="355"/>
      <c r="E150" s="355"/>
      <c r="F150" s="342" t="s">
        <v>154</v>
      </c>
      <c r="G150" s="344"/>
      <c r="H150" s="345"/>
      <c r="I150" s="302"/>
      <c r="J150" s="302"/>
      <c r="K150" s="305"/>
    </row>
    <row r="151" spans="1:11" ht="11.25">
      <c r="A151" s="318"/>
      <c r="B151" s="305"/>
      <c r="C151" s="346"/>
      <c r="D151" s="347" t="s">
        <v>5</v>
      </c>
      <c r="E151" s="347" t="s">
        <v>5</v>
      </c>
      <c r="F151" s="346"/>
      <c r="G151" s="347" t="s">
        <v>5</v>
      </c>
      <c r="H151" s="299" t="s">
        <v>5</v>
      </c>
      <c r="I151" s="302"/>
      <c r="J151" s="302"/>
      <c r="K151" s="305"/>
    </row>
    <row r="152" spans="1:11" ht="11.25">
      <c r="A152" s="317" t="s">
        <v>155</v>
      </c>
      <c r="B152" s="305"/>
      <c r="C152" s="348"/>
      <c r="D152" s="349" t="s">
        <v>7</v>
      </c>
      <c r="E152" s="349" t="s">
        <v>8</v>
      </c>
      <c r="F152" s="348"/>
      <c r="G152" s="349" t="s">
        <v>7</v>
      </c>
      <c r="H152" s="350" t="s">
        <v>8</v>
      </c>
      <c r="I152" s="302"/>
      <c r="J152" s="302"/>
      <c r="K152" s="305"/>
    </row>
    <row r="153" spans="1:11" ht="11.25">
      <c r="A153" s="321"/>
      <c r="B153" s="322"/>
      <c r="C153" s="351" t="s">
        <v>9</v>
      </c>
      <c r="D153" s="352" t="s">
        <v>10</v>
      </c>
      <c r="E153" s="352" t="s">
        <v>10</v>
      </c>
      <c r="F153" s="351" t="s">
        <v>9</v>
      </c>
      <c r="G153" s="352" t="s">
        <v>10</v>
      </c>
      <c r="H153" s="353" t="s">
        <v>10</v>
      </c>
      <c r="I153" s="302"/>
      <c r="J153" s="302"/>
      <c r="K153" s="305"/>
    </row>
    <row r="154" spans="1:11" ht="11.25">
      <c r="A154" s="337" t="s">
        <v>303</v>
      </c>
      <c r="B154" s="304" t="s">
        <v>304</v>
      </c>
      <c r="C154" s="318"/>
      <c r="D154" s="340"/>
      <c r="E154" s="340"/>
      <c r="F154" s="318"/>
      <c r="G154" s="340"/>
      <c r="H154" s="336"/>
      <c r="I154" s="302"/>
      <c r="J154" s="302"/>
      <c r="K154" s="305"/>
    </row>
    <row r="155" spans="1:11" ht="11.25">
      <c r="A155" s="318"/>
      <c r="B155" s="304" t="s">
        <v>305</v>
      </c>
      <c r="C155" s="318"/>
      <c r="D155" s="302"/>
      <c r="E155" s="302"/>
      <c r="F155" s="318"/>
      <c r="G155" s="302"/>
      <c r="H155" s="305"/>
      <c r="I155" s="302"/>
      <c r="J155" s="302"/>
      <c r="K155" s="305"/>
    </row>
    <row r="156" spans="1:11" ht="11.25">
      <c r="A156" s="318"/>
      <c r="B156" s="304" t="s">
        <v>280</v>
      </c>
      <c r="C156" s="318">
        <v>66</v>
      </c>
      <c r="D156" s="332">
        <f aca="true" t="shared" si="22" ref="D156:D161">C156/totalm</f>
        <v>0.3127962085308057</v>
      </c>
      <c r="E156" s="332">
        <f>C156/(totalm-q22nm)</f>
        <v>0.3173076923076923</v>
      </c>
      <c r="F156" s="331">
        <v>201</v>
      </c>
      <c r="G156" s="332">
        <f aca="true" t="shared" si="23" ref="G156:G161">F156/totalf</f>
        <v>0.4631336405529954</v>
      </c>
      <c r="H156" s="333">
        <f>F156/(totalf-q22nf)</f>
        <v>0.46420323325635104</v>
      </c>
      <c r="I156" s="302"/>
      <c r="J156" s="302"/>
      <c r="K156" s="305"/>
    </row>
    <row r="157" spans="1:11" ht="11.25">
      <c r="A157" s="318"/>
      <c r="B157" s="304" t="s">
        <v>281</v>
      </c>
      <c r="C157" s="318">
        <v>94</v>
      </c>
      <c r="D157" s="332">
        <f t="shared" si="22"/>
        <v>0.44549763033175355</v>
      </c>
      <c r="E157" s="332">
        <f>C157/(totalm-q22nm)</f>
        <v>0.4519230769230769</v>
      </c>
      <c r="F157" s="331">
        <v>184</v>
      </c>
      <c r="G157" s="332">
        <f t="shared" si="23"/>
        <v>0.423963133640553</v>
      </c>
      <c r="H157" s="333">
        <f>F157/(totalf-q22nf)</f>
        <v>0.42494226327944573</v>
      </c>
      <c r="I157" s="302"/>
      <c r="J157" s="302"/>
      <c r="K157" s="305"/>
    </row>
    <row r="158" spans="1:11" ht="11.25">
      <c r="A158" s="318"/>
      <c r="B158" s="304" t="s">
        <v>282</v>
      </c>
      <c r="C158" s="318">
        <v>41</v>
      </c>
      <c r="D158" s="332">
        <f t="shared" si="22"/>
        <v>0.1943127962085308</v>
      </c>
      <c r="E158" s="332">
        <f>C158/(totalm-q22nm)</f>
        <v>0.1971153846153846</v>
      </c>
      <c r="F158" s="331">
        <v>45</v>
      </c>
      <c r="G158" s="332">
        <f t="shared" si="23"/>
        <v>0.10368663594470046</v>
      </c>
      <c r="H158" s="333">
        <f>F158/(totalf-q22nf)</f>
        <v>0.10392609699769054</v>
      </c>
      <c r="I158" s="302"/>
      <c r="J158" s="302"/>
      <c r="K158" s="305"/>
    </row>
    <row r="159" spans="1:11" ht="11.25">
      <c r="A159" s="318"/>
      <c r="B159" s="304" t="s">
        <v>283</v>
      </c>
      <c r="C159" s="318">
        <v>7</v>
      </c>
      <c r="D159" s="332">
        <f t="shared" si="22"/>
        <v>0.03317535545023697</v>
      </c>
      <c r="E159" s="332">
        <f>C159/(totalm-q22nm)</f>
        <v>0.03365384615384615</v>
      </c>
      <c r="F159" s="331">
        <v>3</v>
      </c>
      <c r="G159" s="332">
        <f t="shared" si="23"/>
        <v>0.0069124423963133645</v>
      </c>
      <c r="H159" s="333">
        <f>F159/(totalf-q22nf)</f>
        <v>0.006928406466512702</v>
      </c>
      <c r="I159" s="302"/>
      <c r="J159" s="302"/>
      <c r="K159" s="305"/>
    </row>
    <row r="160" spans="1:11" ht="11.25">
      <c r="A160" s="318"/>
      <c r="B160" s="304" t="s">
        <v>284</v>
      </c>
      <c r="C160" s="318">
        <v>0</v>
      </c>
      <c r="D160" s="332">
        <f t="shared" si="22"/>
        <v>0</v>
      </c>
      <c r="E160" s="332">
        <f>C160/(totalm-q22nm)</f>
        <v>0</v>
      </c>
      <c r="F160" s="331">
        <v>0</v>
      </c>
      <c r="G160" s="332">
        <f t="shared" si="23"/>
        <v>0</v>
      </c>
      <c r="H160" s="333">
        <f>F160/(totalf-q22nf)</f>
        <v>0</v>
      </c>
      <c r="I160" s="302"/>
      <c r="J160" s="302"/>
      <c r="K160" s="305"/>
    </row>
    <row r="161" spans="1:11" ht="11.25">
      <c r="A161" s="321"/>
      <c r="B161" s="308" t="s">
        <v>18</v>
      </c>
      <c r="C161" s="321">
        <v>3</v>
      </c>
      <c r="D161" s="335">
        <f t="shared" si="22"/>
        <v>0.014218009478672985</v>
      </c>
      <c r="E161" s="324" t="s">
        <v>19</v>
      </c>
      <c r="F161" s="334">
        <v>1</v>
      </c>
      <c r="G161" s="335">
        <f t="shared" si="23"/>
        <v>0.002304147465437788</v>
      </c>
      <c r="H161" s="325" t="s">
        <v>19</v>
      </c>
      <c r="I161" s="307"/>
      <c r="J161" s="307"/>
      <c r="K161" s="322"/>
    </row>
    <row r="162" spans="1:11" ht="17.25" customHeight="1">
      <c r="A162" s="316"/>
      <c r="B162" s="313"/>
      <c r="C162" s="342" t="s">
        <v>185</v>
      </c>
      <c r="D162" s="356"/>
      <c r="E162" s="357"/>
      <c r="F162" s="342" t="s">
        <v>186</v>
      </c>
      <c r="G162" s="356"/>
      <c r="H162" s="357"/>
      <c r="I162" s="342" t="s">
        <v>187</v>
      </c>
      <c r="J162" s="358"/>
      <c r="K162" s="359"/>
    </row>
    <row r="163" spans="1:12" ht="11.25">
      <c r="A163" s="318"/>
      <c r="B163" s="305"/>
      <c r="C163" s="360"/>
      <c r="D163" s="349" t="s">
        <v>5</v>
      </c>
      <c r="E163" s="350" t="s">
        <v>5</v>
      </c>
      <c r="F163" s="360"/>
      <c r="G163" s="349" t="s">
        <v>5</v>
      </c>
      <c r="H163" s="350" t="s">
        <v>5</v>
      </c>
      <c r="I163" s="360"/>
      <c r="J163" s="349" t="s">
        <v>5</v>
      </c>
      <c r="K163" s="350" t="s">
        <v>5</v>
      </c>
      <c r="L163" s="361"/>
    </row>
    <row r="164" spans="1:12" ht="11.25">
      <c r="A164" s="317" t="s">
        <v>188</v>
      </c>
      <c r="B164" s="305"/>
      <c r="C164" s="360"/>
      <c r="D164" s="349" t="s">
        <v>7</v>
      </c>
      <c r="E164" s="350" t="s">
        <v>8</v>
      </c>
      <c r="F164" s="360"/>
      <c r="G164" s="349" t="s">
        <v>7</v>
      </c>
      <c r="H164" s="350" t="s">
        <v>8</v>
      </c>
      <c r="I164" s="360"/>
      <c r="J164" s="349" t="s">
        <v>7</v>
      </c>
      <c r="K164" s="350" t="s">
        <v>8</v>
      </c>
      <c r="L164" s="361"/>
    </row>
    <row r="165" spans="1:12" ht="11.25">
      <c r="A165" s="321"/>
      <c r="B165" s="322"/>
      <c r="C165" s="351" t="s">
        <v>9</v>
      </c>
      <c r="D165" s="352" t="s">
        <v>10</v>
      </c>
      <c r="E165" s="353" t="s">
        <v>10</v>
      </c>
      <c r="F165" s="351" t="s">
        <v>9</v>
      </c>
      <c r="G165" s="352" t="s">
        <v>10</v>
      </c>
      <c r="H165" s="353" t="s">
        <v>10</v>
      </c>
      <c r="I165" s="351" t="s">
        <v>9</v>
      </c>
      <c r="J165" s="352" t="s">
        <v>10</v>
      </c>
      <c r="K165" s="353" t="s">
        <v>10</v>
      </c>
      <c r="L165" s="362"/>
    </row>
    <row r="166" spans="1:11" ht="12.75" customHeight="1">
      <c r="A166" s="331" t="s">
        <v>11</v>
      </c>
      <c r="B166" s="310"/>
      <c r="C166" s="312">
        <v>582</v>
      </c>
      <c r="D166" s="354">
        <v>1</v>
      </c>
      <c r="E166" s="363"/>
      <c r="F166" s="310">
        <v>41</v>
      </c>
      <c r="G166" s="364">
        <v>1</v>
      </c>
      <c r="I166" s="331">
        <v>22</v>
      </c>
      <c r="J166" s="364">
        <v>1</v>
      </c>
      <c r="K166" s="305"/>
    </row>
    <row r="167" spans="1:11" ht="3" customHeight="1">
      <c r="A167" s="334"/>
      <c r="B167" s="308"/>
      <c r="C167" s="334"/>
      <c r="D167" s="335"/>
      <c r="E167" s="322"/>
      <c r="F167" s="307"/>
      <c r="G167" s="307"/>
      <c r="H167" s="307"/>
      <c r="I167" s="321"/>
      <c r="J167" s="307"/>
      <c r="K167" s="322"/>
    </row>
    <row r="168" spans="1:11" ht="11.25">
      <c r="A168" s="331" t="s">
        <v>278</v>
      </c>
      <c r="B168" s="304" t="s">
        <v>279</v>
      </c>
      <c r="C168" s="316"/>
      <c r="D168" s="354"/>
      <c r="E168" s="313"/>
      <c r="F168" s="296"/>
      <c r="G168" s="296"/>
      <c r="H168" s="296"/>
      <c r="I168" s="316"/>
      <c r="J168" s="296"/>
      <c r="K168" s="313"/>
    </row>
    <row r="169" spans="1:11" ht="11.25">
      <c r="A169" s="318"/>
      <c r="B169" s="304" t="s">
        <v>280</v>
      </c>
      <c r="C169" s="331">
        <v>151</v>
      </c>
      <c r="D169" s="332">
        <f aca="true" t="shared" si="24" ref="D169:D174">C169/totalw</f>
        <v>0.25945017182130586</v>
      </c>
      <c r="E169" s="333">
        <f>C169/(totalw-q15nw)</f>
        <v>0.2603448275862069</v>
      </c>
      <c r="F169" s="304">
        <v>15</v>
      </c>
      <c r="G169" s="332">
        <f aca="true" t="shared" si="25" ref="G169:G174">F169/totalb</f>
        <v>0.36585365853658536</v>
      </c>
      <c r="H169" s="332">
        <f>F169/(totalb-q15nb)</f>
        <v>0.36585365853658536</v>
      </c>
      <c r="I169" s="331">
        <v>4</v>
      </c>
      <c r="J169" s="332">
        <f aca="true" t="shared" si="26" ref="J169:J174">I169/totalo</f>
        <v>0.18181818181818182</v>
      </c>
      <c r="K169" s="333">
        <f>I169/(totalo-q15no)</f>
        <v>0.19047619047619047</v>
      </c>
    </row>
    <row r="170" spans="1:11" ht="11.25">
      <c r="A170" s="318"/>
      <c r="B170" s="304" t="s">
        <v>281</v>
      </c>
      <c r="C170" s="331">
        <v>283</v>
      </c>
      <c r="D170" s="332">
        <f t="shared" si="24"/>
        <v>0.48625429553264604</v>
      </c>
      <c r="E170" s="333">
        <f>C170/(totalw-q15nw)</f>
        <v>0.4879310344827586</v>
      </c>
      <c r="F170" s="304">
        <v>17</v>
      </c>
      <c r="G170" s="332">
        <f t="shared" si="25"/>
        <v>0.4146341463414634</v>
      </c>
      <c r="H170" s="332">
        <f>F170/(totalb-q15nb)</f>
        <v>0.4146341463414634</v>
      </c>
      <c r="I170" s="331">
        <v>8</v>
      </c>
      <c r="J170" s="332">
        <f t="shared" si="26"/>
        <v>0.36363636363636365</v>
      </c>
      <c r="K170" s="333">
        <f>I170/(totalo-q15no)</f>
        <v>0.38095238095238093</v>
      </c>
    </row>
    <row r="171" spans="1:11" ht="11.25">
      <c r="A171" s="318"/>
      <c r="B171" s="304" t="s">
        <v>282</v>
      </c>
      <c r="C171" s="331">
        <v>125</v>
      </c>
      <c r="D171" s="332">
        <f t="shared" si="24"/>
        <v>0.21477663230240548</v>
      </c>
      <c r="E171" s="333">
        <f>C171/(totalw-q15nw)</f>
        <v>0.21551724137931033</v>
      </c>
      <c r="F171" s="304">
        <v>8</v>
      </c>
      <c r="G171" s="332">
        <f t="shared" si="25"/>
        <v>0.1951219512195122</v>
      </c>
      <c r="H171" s="332">
        <f>F171/(totalb-q15nb)</f>
        <v>0.1951219512195122</v>
      </c>
      <c r="I171" s="331">
        <v>9</v>
      </c>
      <c r="J171" s="332">
        <f t="shared" si="26"/>
        <v>0.4090909090909091</v>
      </c>
      <c r="K171" s="333">
        <f>I171/(totalo-q15no)</f>
        <v>0.42857142857142855</v>
      </c>
    </row>
    <row r="172" spans="1:11" ht="11.25">
      <c r="A172" s="318"/>
      <c r="B172" s="304" t="s">
        <v>283</v>
      </c>
      <c r="C172" s="331">
        <v>20</v>
      </c>
      <c r="D172" s="332">
        <f t="shared" si="24"/>
        <v>0.03436426116838488</v>
      </c>
      <c r="E172" s="333">
        <f>C172/(totalw-q15nw)</f>
        <v>0.034482758620689655</v>
      </c>
      <c r="F172" s="304">
        <v>1</v>
      </c>
      <c r="G172" s="332">
        <f t="shared" si="25"/>
        <v>0.024390243902439025</v>
      </c>
      <c r="H172" s="332">
        <f>F172/(totalb-q15nb)</f>
        <v>0.024390243902439025</v>
      </c>
      <c r="I172" s="331">
        <v>0</v>
      </c>
      <c r="J172" s="332">
        <f t="shared" si="26"/>
        <v>0</v>
      </c>
      <c r="K172" s="333">
        <f>I172/(totalo-q15no)</f>
        <v>0</v>
      </c>
    </row>
    <row r="173" spans="1:11" ht="11.25">
      <c r="A173" s="318"/>
      <c r="B173" s="304" t="s">
        <v>284</v>
      </c>
      <c r="C173" s="331">
        <v>1</v>
      </c>
      <c r="D173" s="332">
        <f t="shared" si="24"/>
        <v>0.001718213058419244</v>
      </c>
      <c r="E173" s="333">
        <f>C173/(totalw-q15nw)</f>
        <v>0.0017241379310344827</v>
      </c>
      <c r="F173" s="304">
        <v>0</v>
      </c>
      <c r="G173" s="332">
        <f t="shared" si="25"/>
        <v>0</v>
      </c>
      <c r="H173" s="332">
        <f>F173/(totalb-q15nb)</f>
        <v>0</v>
      </c>
      <c r="I173" s="331">
        <v>0</v>
      </c>
      <c r="J173" s="332">
        <f t="shared" si="26"/>
        <v>0</v>
      </c>
      <c r="K173" s="333">
        <f>I173/(totalo-q15no)</f>
        <v>0</v>
      </c>
    </row>
    <row r="174" spans="1:12" ht="11.25">
      <c r="A174" s="321"/>
      <c r="B174" s="308" t="s">
        <v>18</v>
      </c>
      <c r="C174" s="334">
        <v>2</v>
      </c>
      <c r="D174" s="335">
        <f t="shared" si="24"/>
        <v>0.003436426116838488</v>
      </c>
      <c r="E174" s="325" t="s">
        <v>19</v>
      </c>
      <c r="F174" s="308">
        <v>0</v>
      </c>
      <c r="G174" s="335">
        <f t="shared" si="25"/>
        <v>0</v>
      </c>
      <c r="H174" s="324" t="s">
        <v>19</v>
      </c>
      <c r="I174" s="334">
        <v>1</v>
      </c>
      <c r="J174" s="335">
        <f t="shared" si="26"/>
        <v>0.045454545454545456</v>
      </c>
      <c r="K174" s="325" t="s">
        <v>19</v>
      </c>
      <c r="L174" s="311"/>
    </row>
    <row r="175" spans="1:11" ht="11.25">
      <c r="A175" s="331" t="s">
        <v>285</v>
      </c>
      <c r="B175" s="304" t="s">
        <v>308</v>
      </c>
      <c r="C175" s="331"/>
      <c r="D175" s="340"/>
      <c r="E175" s="336"/>
      <c r="F175" s="302"/>
      <c r="G175" s="340"/>
      <c r="H175" s="340"/>
      <c r="I175" s="318"/>
      <c r="J175" s="340"/>
      <c r="K175" s="336"/>
    </row>
    <row r="176" spans="1:11" ht="11.25">
      <c r="A176" s="331"/>
      <c r="B176" s="304" t="s">
        <v>287</v>
      </c>
      <c r="C176" s="331"/>
      <c r="D176" s="302"/>
      <c r="E176" s="305"/>
      <c r="F176" s="302"/>
      <c r="G176" s="302"/>
      <c r="H176" s="302"/>
      <c r="I176" s="318"/>
      <c r="J176" s="302"/>
      <c r="K176" s="305"/>
    </row>
    <row r="177" spans="1:11" ht="11.25">
      <c r="A177" s="318"/>
      <c r="B177" s="304" t="s">
        <v>280</v>
      </c>
      <c r="C177" s="318">
        <v>243</v>
      </c>
      <c r="D177" s="332">
        <f aca="true" t="shared" si="27" ref="D177:D182">C177/totalw</f>
        <v>0.4175257731958763</v>
      </c>
      <c r="E177" s="333">
        <f>C177/(totalw-q16nw)</f>
        <v>0.41824440619621345</v>
      </c>
      <c r="F177" s="304">
        <v>24</v>
      </c>
      <c r="G177" s="332">
        <f aca="true" t="shared" si="28" ref="G177:G182">F177/totalb</f>
        <v>0.5853658536585366</v>
      </c>
      <c r="H177" s="332">
        <f>F177/(totalb-q16nb)</f>
        <v>0.5853658536585366</v>
      </c>
      <c r="I177" s="331">
        <v>10</v>
      </c>
      <c r="J177" s="332">
        <f aca="true" t="shared" si="29" ref="J177:J182">I177/totalo</f>
        <v>0.45454545454545453</v>
      </c>
      <c r="K177" s="333">
        <f>I177/(totalo-q16no)</f>
        <v>0.47619047619047616</v>
      </c>
    </row>
    <row r="178" spans="1:11" ht="11.25">
      <c r="A178" s="318"/>
      <c r="B178" s="304" t="s">
        <v>281</v>
      </c>
      <c r="C178" s="318">
        <v>216</v>
      </c>
      <c r="D178" s="332">
        <f t="shared" si="27"/>
        <v>0.3711340206185567</v>
      </c>
      <c r="E178" s="333">
        <f>C178/(totalw-q16nw)</f>
        <v>0.3717728055077453</v>
      </c>
      <c r="F178" s="304">
        <v>11</v>
      </c>
      <c r="G178" s="332">
        <f t="shared" si="28"/>
        <v>0.2682926829268293</v>
      </c>
      <c r="H178" s="332">
        <f>F178/(totalb-q16nb)</f>
        <v>0.2682926829268293</v>
      </c>
      <c r="I178" s="331">
        <v>5</v>
      </c>
      <c r="J178" s="332">
        <f t="shared" si="29"/>
        <v>0.22727272727272727</v>
      </c>
      <c r="K178" s="333">
        <f>I178/(totalo-q16no)</f>
        <v>0.23809523809523808</v>
      </c>
    </row>
    <row r="179" spans="1:11" ht="11.25">
      <c r="A179" s="318"/>
      <c r="B179" s="304" t="s">
        <v>282</v>
      </c>
      <c r="C179" s="318">
        <v>104</v>
      </c>
      <c r="D179" s="332">
        <f t="shared" si="27"/>
        <v>0.17869415807560138</v>
      </c>
      <c r="E179" s="333">
        <f>C179/(totalw-q16nw)</f>
        <v>0.17900172117039587</v>
      </c>
      <c r="F179" s="304">
        <v>5</v>
      </c>
      <c r="G179" s="332">
        <f t="shared" si="28"/>
        <v>0.12195121951219512</v>
      </c>
      <c r="H179" s="332">
        <f>F179/(totalb-q16nb)</f>
        <v>0.12195121951219512</v>
      </c>
      <c r="I179" s="331">
        <v>5</v>
      </c>
      <c r="J179" s="332">
        <f t="shared" si="29"/>
        <v>0.22727272727272727</v>
      </c>
      <c r="K179" s="333">
        <f>I179/(totalo-q16no)</f>
        <v>0.23809523809523808</v>
      </c>
    </row>
    <row r="180" spans="1:11" ht="11.25">
      <c r="A180" s="318"/>
      <c r="B180" s="304" t="s">
        <v>283</v>
      </c>
      <c r="C180" s="318">
        <v>17</v>
      </c>
      <c r="D180" s="332">
        <f t="shared" si="27"/>
        <v>0.029209621993127148</v>
      </c>
      <c r="E180" s="333">
        <f>C180/(totalw-q16nw)</f>
        <v>0.029259896729776247</v>
      </c>
      <c r="F180" s="304">
        <v>1</v>
      </c>
      <c r="G180" s="332">
        <f t="shared" si="28"/>
        <v>0.024390243902439025</v>
      </c>
      <c r="H180" s="332">
        <f>F180/(totalb-q16nb)</f>
        <v>0.024390243902439025</v>
      </c>
      <c r="I180" s="331">
        <v>1</v>
      </c>
      <c r="J180" s="332">
        <f t="shared" si="29"/>
        <v>0.045454545454545456</v>
      </c>
      <c r="K180" s="333">
        <f>I180/(totalo-q16no)</f>
        <v>0.047619047619047616</v>
      </c>
    </row>
    <row r="181" spans="1:11" ht="11.25">
      <c r="A181" s="318"/>
      <c r="B181" s="304" t="s">
        <v>284</v>
      </c>
      <c r="C181" s="318">
        <v>1</v>
      </c>
      <c r="D181" s="332">
        <f t="shared" si="27"/>
        <v>0.001718213058419244</v>
      </c>
      <c r="E181" s="333">
        <f>C181/(totalw-q16nw)</f>
        <v>0.0017211703958691911</v>
      </c>
      <c r="F181" s="304">
        <v>0</v>
      </c>
      <c r="G181" s="332">
        <f t="shared" si="28"/>
        <v>0</v>
      </c>
      <c r="H181" s="332">
        <f>F181/(totalb-q16nb)</f>
        <v>0</v>
      </c>
      <c r="I181" s="331">
        <v>0</v>
      </c>
      <c r="J181" s="332">
        <f t="shared" si="29"/>
        <v>0</v>
      </c>
      <c r="K181" s="333">
        <f>I181/(totalo-q16no)</f>
        <v>0</v>
      </c>
    </row>
    <row r="182" spans="1:11" ht="11.25">
      <c r="A182" s="321"/>
      <c r="B182" s="308" t="s">
        <v>18</v>
      </c>
      <c r="C182" s="321">
        <v>1</v>
      </c>
      <c r="D182" s="335">
        <f t="shared" si="27"/>
        <v>0.001718213058419244</v>
      </c>
      <c r="E182" s="325" t="s">
        <v>19</v>
      </c>
      <c r="F182" s="308">
        <v>0</v>
      </c>
      <c r="G182" s="335">
        <f t="shared" si="28"/>
        <v>0</v>
      </c>
      <c r="H182" s="324" t="s">
        <v>19</v>
      </c>
      <c r="I182" s="334">
        <v>1</v>
      </c>
      <c r="J182" s="335">
        <f t="shared" si="29"/>
        <v>0.045454545454545456</v>
      </c>
      <c r="K182" s="325" t="s">
        <v>19</v>
      </c>
    </row>
    <row r="183" spans="1:11" ht="11.25">
      <c r="A183" s="331" t="s">
        <v>288</v>
      </c>
      <c r="B183" s="304" t="s">
        <v>289</v>
      </c>
      <c r="C183" s="318"/>
      <c r="D183" s="332"/>
      <c r="E183" s="333"/>
      <c r="F183" s="302"/>
      <c r="G183" s="332"/>
      <c r="H183" s="332"/>
      <c r="I183" s="318"/>
      <c r="J183" s="332"/>
      <c r="K183" s="333"/>
    </row>
    <row r="184" spans="1:11" ht="11.25">
      <c r="A184" s="331"/>
      <c r="B184" s="304" t="s">
        <v>290</v>
      </c>
      <c r="C184" s="318"/>
      <c r="D184" s="332"/>
      <c r="E184" s="333"/>
      <c r="F184" s="302"/>
      <c r="G184" s="332"/>
      <c r="H184" s="332"/>
      <c r="I184" s="318"/>
      <c r="J184" s="332"/>
      <c r="K184" s="333"/>
    </row>
    <row r="185" spans="1:11" ht="11.25">
      <c r="A185" s="318"/>
      <c r="B185" s="304" t="s">
        <v>280</v>
      </c>
      <c r="C185" s="318">
        <v>124</v>
      </c>
      <c r="D185" s="332">
        <f aca="true" t="shared" si="30" ref="D185:D190">C185/totalw</f>
        <v>0.21305841924398625</v>
      </c>
      <c r="E185" s="333">
        <f>C185/(totalw-q17nw)</f>
        <v>0.2134251290877797</v>
      </c>
      <c r="F185" s="304">
        <v>17</v>
      </c>
      <c r="G185" s="332">
        <f aca="true" t="shared" si="31" ref="G185:G190">F185/totalb</f>
        <v>0.4146341463414634</v>
      </c>
      <c r="H185" s="332">
        <f>F185/(totalb-q17nb)</f>
        <v>0.4146341463414634</v>
      </c>
      <c r="I185" s="331">
        <v>5</v>
      </c>
      <c r="J185" s="332">
        <f aca="true" t="shared" si="32" ref="J185:J190">I185/totalo</f>
        <v>0.22727272727272727</v>
      </c>
      <c r="K185" s="333">
        <f>I185/(totalo-q17no)</f>
        <v>0.23809523809523808</v>
      </c>
    </row>
    <row r="186" spans="1:11" ht="11.25">
      <c r="A186" s="318"/>
      <c r="B186" s="304" t="s">
        <v>281</v>
      </c>
      <c r="C186" s="318">
        <v>246</v>
      </c>
      <c r="D186" s="332">
        <f t="shared" si="30"/>
        <v>0.422680412371134</v>
      </c>
      <c r="E186" s="333">
        <f>C186/(totalw-q17nw)</f>
        <v>0.423407917383821</v>
      </c>
      <c r="F186" s="304">
        <v>12</v>
      </c>
      <c r="G186" s="332">
        <f t="shared" si="31"/>
        <v>0.2926829268292683</v>
      </c>
      <c r="H186" s="332">
        <f>F186/(totalb-q17nb)</f>
        <v>0.2926829268292683</v>
      </c>
      <c r="I186" s="331">
        <v>10</v>
      </c>
      <c r="J186" s="332">
        <f t="shared" si="32"/>
        <v>0.45454545454545453</v>
      </c>
      <c r="K186" s="333">
        <f>I186/(totalo-q17no)</f>
        <v>0.47619047619047616</v>
      </c>
    </row>
    <row r="187" spans="1:11" ht="11.25">
      <c r="A187" s="318"/>
      <c r="B187" s="304" t="s">
        <v>282</v>
      </c>
      <c r="C187" s="318">
        <v>161</v>
      </c>
      <c r="D187" s="332">
        <f t="shared" si="30"/>
        <v>0.2766323024054983</v>
      </c>
      <c r="E187" s="333">
        <f>C187/(totalw-q17nw)</f>
        <v>0.27710843373493976</v>
      </c>
      <c r="F187" s="304">
        <v>8</v>
      </c>
      <c r="G187" s="332">
        <f t="shared" si="31"/>
        <v>0.1951219512195122</v>
      </c>
      <c r="H187" s="332">
        <f>F187/(totalb-q17nb)</f>
        <v>0.1951219512195122</v>
      </c>
      <c r="I187" s="331">
        <v>5</v>
      </c>
      <c r="J187" s="332">
        <f t="shared" si="32"/>
        <v>0.22727272727272727</v>
      </c>
      <c r="K187" s="333">
        <f>I187/(totalo-q17no)</f>
        <v>0.23809523809523808</v>
      </c>
    </row>
    <row r="188" spans="1:11" ht="11.25">
      <c r="A188" s="318"/>
      <c r="B188" s="304" t="s">
        <v>283</v>
      </c>
      <c r="C188" s="318">
        <v>45</v>
      </c>
      <c r="D188" s="332">
        <f t="shared" si="30"/>
        <v>0.07731958762886598</v>
      </c>
      <c r="E188" s="333">
        <f>C188/(totalw-q17nw)</f>
        <v>0.0774526678141136</v>
      </c>
      <c r="F188" s="304">
        <v>3</v>
      </c>
      <c r="G188" s="332">
        <f t="shared" si="31"/>
        <v>0.07317073170731707</v>
      </c>
      <c r="H188" s="332">
        <f>F188/(totalb-q17nb)</f>
        <v>0.07317073170731707</v>
      </c>
      <c r="I188" s="331">
        <v>1</v>
      </c>
      <c r="J188" s="332">
        <f t="shared" si="32"/>
        <v>0.045454545454545456</v>
      </c>
      <c r="K188" s="333">
        <f>I188/(totalo-q17no)</f>
        <v>0.047619047619047616</v>
      </c>
    </row>
    <row r="189" spans="1:11" ht="11.25">
      <c r="A189" s="318"/>
      <c r="B189" s="304" t="s">
        <v>284</v>
      </c>
      <c r="C189" s="318">
        <v>5</v>
      </c>
      <c r="D189" s="332">
        <f t="shared" si="30"/>
        <v>0.00859106529209622</v>
      </c>
      <c r="E189" s="333">
        <f>C189/(totalw-q17nw)</f>
        <v>0.008605851979345954</v>
      </c>
      <c r="F189" s="304">
        <v>1</v>
      </c>
      <c r="G189" s="332">
        <f t="shared" si="31"/>
        <v>0.024390243902439025</v>
      </c>
      <c r="H189" s="332">
        <f>F189/(totalb-q17nb)</f>
        <v>0.024390243902439025</v>
      </c>
      <c r="I189" s="331">
        <v>0</v>
      </c>
      <c r="J189" s="332">
        <f t="shared" si="32"/>
        <v>0</v>
      </c>
      <c r="K189" s="333">
        <f>I189/(totalo-q17no)</f>
        <v>0</v>
      </c>
    </row>
    <row r="190" spans="1:11" ht="11.25">
      <c r="A190" s="321"/>
      <c r="B190" s="308" t="s">
        <v>18</v>
      </c>
      <c r="C190" s="321">
        <v>1</v>
      </c>
      <c r="D190" s="335">
        <f t="shared" si="30"/>
        <v>0.001718213058419244</v>
      </c>
      <c r="E190" s="325" t="s">
        <v>19</v>
      </c>
      <c r="F190" s="308">
        <v>0</v>
      </c>
      <c r="G190" s="335">
        <f t="shared" si="31"/>
        <v>0</v>
      </c>
      <c r="H190" s="324" t="s">
        <v>19</v>
      </c>
      <c r="I190" s="334">
        <v>1</v>
      </c>
      <c r="J190" s="335">
        <f t="shared" si="32"/>
        <v>0.045454545454545456</v>
      </c>
      <c r="K190" s="325" t="s">
        <v>19</v>
      </c>
    </row>
    <row r="191" spans="1:11" ht="18" customHeight="1">
      <c r="A191" s="365" t="s">
        <v>265</v>
      </c>
      <c r="B191" s="366"/>
      <c r="C191" s="367"/>
      <c r="D191" s="329"/>
      <c r="E191" s="368"/>
      <c r="F191" s="366"/>
      <c r="G191" s="329"/>
      <c r="H191" s="368"/>
      <c r="I191" s="366"/>
      <c r="J191" s="329"/>
      <c r="K191" s="369"/>
    </row>
    <row r="192" spans="1:11" ht="11.25">
      <c r="A192" s="370"/>
      <c r="B192" s="298"/>
      <c r="C192" s="296"/>
      <c r="D192" s="354"/>
      <c r="E192" s="371"/>
      <c r="F192" s="298"/>
      <c r="G192" s="354"/>
      <c r="H192" s="371"/>
      <c r="I192" s="298"/>
      <c r="J192" s="354"/>
      <c r="K192" s="371"/>
    </row>
    <row r="193" spans="1:11" s="302" customFormat="1" ht="11.25">
      <c r="A193" s="372"/>
      <c r="B193" s="304"/>
      <c r="D193" s="332"/>
      <c r="E193" s="373"/>
      <c r="F193" s="304"/>
      <c r="G193" s="332"/>
      <c r="H193" s="373"/>
      <c r="I193" s="304"/>
      <c r="J193" s="332"/>
      <c r="K193" s="373"/>
    </row>
    <row r="194" spans="1:11" s="302" customFormat="1" ht="11.25">
      <c r="A194" s="372"/>
      <c r="B194" s="304"/>
      <c r="D194" s="332"/>
      <c r="E194" s="373"/>
      <c r="F194" s="304"/>
      <c r="G194" s="332"/>
      <c r="H194" s="373"/>
      <c r="I194" s="304"/>
      <c r="J194" s="332"/>
      <c r="K194" s="373"/>
    </row>
    <row r="195" spans="1:11" ht="11.25">
      <c r="A195" s="372"/>
      <c r="B195" s="304"/>
      <c r="C195" s="302"/>
      <c r="D195" s="332"/>
      <c r="E195" s="373"/>
      <c r="F195" s="304"/>
      <c r="G195" s="332"/>
      <c r="H195" s="373"/>
      <c r="I195" s="304"/>
      <c r="J195" s="332"/>
      <c r="K195" s="373"/>
    </row>
    <row r="196" spans="1:11" ht="12.75">
      <c r="A196" s="295" t="s">
        <v>0</v>
      </c>
      <c r="B196" s="296"/>
      <c r="C196" s="297"/>
      <c r="D196" s="297"/>
      <c r="E196" s="297"/>
      <c r="F196" s="298"/>
      <c r="G196" s="298"/>
      <c r="H196" s="298"/>
      <c r="I196" s="298"/>
      <c r="J196" s="298"/>
      <c r="K196" s="299" t="s">
        <v>309</v>
      </c>
    </row>
    <row r="197" spans="1:11" ht="12.75">
      <c r="A197" s="301" t="s">
        <v>2</v>
      </c>
      <c r="B197" s="302"/>
      <c r="C197" s="303"/>
      <c r="D197" s="303"/>
      <c r="E197" s="303"/>
      <c r="F197" s="304"/>
      <c r="G197" s="304"/>
      <c r="H197" s="304"/>
      <c r="I197" s="304"/>
      <c r="J197" s="304"/>
      <c r="K197" s="305"/>
    </row>
    <row r="198" spans="1:11" ht="12.75">
      <c r="A198" s="6" t="s">
        <v>276</v>
      </c>
      <c r="B198" s="302"/>
      <c r="C198" s="303"/>
      <c r="D198" s="303"/>
      <c r="E198" s="303"/>
      <c r="F198" s="304"/>
      <c r="G198" s="304"/>
      <c r="H198" s="304"/>
      <c r="I198" s="304"/>
      <c r="J198" s="304"/>
      <c r="K198" s="305"/>
    </row>
    <row r="199" spans="1:11" ht="12.75">
      <c r="A199" s="306" t="s">
        <v>277</v>
      </c>
      <c r="B199" s="307"/>
      <c r="C199" s="307"/>
      <c r="D199" s="307"/>
      <c r="E199" s="307"/>
      <c r="F199" s="307"/>
      <c r="G199" s="307"/>
      <c r="H199" s="308"/>
      <c r="I199" s="308"/>
      <c r="J199" s="308"/>
      <c r="K199" s="309"/>
    </row>
    <row r="200" spans="1:11" ht="10.5" customHeight="1">
      <c r="A200" s="316"/>
      <c r="B200" s="313"/>
      <c r="C200" s="342" t="s">
        <v>185</v>
      </c>
      <c r="D200" s="358"/>
      <c r="E200" s="359"/>
      <c r="F200" s="342" t="s">
        <v>186</v>
      </c>
      <c r="G200" s="358"/>
      <c r="H200" s="359"/>
      <c r="I200" s="342" t="s">
        <v>187</v>
      </c>
      <c r="J200" s="358"/>
      <c r="K200" s="359"/>
    </row>
    <row r="201" spans="1:12" ht="10.5" customHeight="1">
      <c r="A201" s="318"/>
      <c r="B201" s="305"/>
      <c r="C201" s="360"/>
      <c r="D201" s="349" t="s">
        <v>5</v>
      </c>
      <c r="E201" s="350" t="s">
        <v>5</v>
      </c>
      <c r="F201" s="360"/>
      <c r="G201" s="349" t="s">
        <v>5</v>
      </c>
      <c r="H201" s="350" t="s">
        <v>5</v>
      </c>
      <c r="I201" s="360"/>
      <c r="J201" s="349" t="s">
        <v>5</v>
      </c>
      <c r="K201" s="350" t="s">
        <v>5</v>
      </c>
      <c r="L201" s="361"/>
    </row>
    <row r="202" spans="1:12" ht="10.5" customHeight="1">
      <c r="A202" s="317" t="s">
        <v>188</v>
      </c>
      <c r="B202" s="305"/>
      <c r="C202" s="360"/>
      <c r="D202" s="349" t="s">
        <v>7</v>
      </c>
      <c r="E202" s="350" t="s">
        <v>8</v>
      </c>
      <c r="F202" s="360"/>
      <c r="G202" s="349" t="s">
        <v>7</v>
      </c>
      <c r="H202" s="350" t="s">
        <v>8</v>
      </c>
      <c r="I202" s="360"/>
      <c r="J202" s="349" t="s">
        <v>7</v>
      </c>
      <c r="K202" s="350" t="s">
        <v>8</v>
      </c>
      <c r="L202" s="361"/>
    </row>
    <row r="203" spans="1:12" ht="10.5" customHeight="1">
      <c r="A203" s="321"/>
      <c r="B203" s="322"/>
      <c r="C203" s="351" t="s">
        <v>9</v>
      </c>
      <c r="D203" s="352" t="s">
        <v>10</v>
      </c>
      <c r="E203" s="353" t="s">
        <v>10</v>
      </c>
      <c r="F203" s="351" t="s">
        <v>9</v>
      </c>
      <c r="G203" s="352" t="s">
        <v>10</v>
      </c>
      <c r="H203" s="353" t="s">
        <v>10</v>
      </c>
      <c r="I203" s="351" t="s">
        <v>9</v>
      </c>
      <c r="J203" s="352" t="s">
        <v>10</v>
      </c>
      <c r="K203" s="353" t="s">
        <v>10</v>
      </c>
      <c r="L203" s="362"/>
    </row>
    <row r="204" spans="1:11" ht="11.25">
      <c r="A204" s="331" t="s">
        <v>291</v>
      </c>
      <c r="B204" s="304" t="s">
        <v>292</v>
      </c>
      <c r="C204" s="318"/>
      <c r="D204" s="340"/>
      <c r="E204" s="336"/>
      <c r="F204" s="302"/>
      <c r="G204" s="340"/>
      <c r="H204" s="340"/>
      <c r="I204" s="318"/>
      <c r="J204" s="340"/>
      <c r="K204" s="336"/>
    </row>
    <row r="205" spans="1:11" ht="11.25">
      <c r="A205" s="318"/>
      <c r="B205" s="304" t="s">
        <v>293</v>
      </c>
      <c r="C205" s="318"/>
      <c r="D205" s="302"/>
      <c r="E205" s="305"/>
      <c r="F205" s="302"/>
      <c r="G205" s="302"/>
      <c r="H205" s="302"/>
      <c r="I205" s="318"/>
      <c r="J205" s="302"/>
      <c r="K205" s="305"/>
    </row>
    <row r="206" spans="1:11" ht="11.25">
      <c r="A206" s="318"/>
      <c r="B206" s="304" t="s">
        <v>280</v>
      </c>
      <c r="C206" s="318">
        <v>130</v>
      </c>
      <c r="D206" s="332">
        <f aca="true" t="shared" si="33" ref="D206:D211">C206/totalw</f>
        <v>0.22336769759450173</v>
      </c>
      <c r="E206" s="333">
        <f>C206/(totalw-q18nw)</f>
        <v>0.22375215146299485</v>
      </c>
      <c r="F206" s="304">
        <v>17</v>
      </c>
      <c r="G206" s="332">
        <f aca="true" t="shared" si="34" ref="G206:G211">F206/totalb</f>
        <v>0.4146341463414634</v>
      </c>
      <c r="H206" s="332">
        <f>F206/(totalb-q18nb)</f>
        <v>0.4146341463414634</v>
      </c>
      <c r="I206" s="331">
        <v>3</v>
      </c>
      <c r="J206" s="332">
        <f aca="true" t="shared" si="35" ref="J206:J211">I206/totalo</f>
        <v>0.13636363636363635</v>
      </c>
      <c r="K206" s="333">
        <f>I206/(totalo-q18no)</f>
        <v>0.14285714285714285</v>
      </c>
    </row>
    <row r="207" spans="1:11" ht="11.25">
      <c r="A207" s="318"/>
      <c r="B207" s="304" t="s">
        <v>281</v>
      </c>
      <c r="C207" s="318">
        <v>318</v>
      </c>
      <c r="D207" s="332">
        <f t="shared" si="33"/>
        <v>0.5463917525773195</v>
      </c>
      <c r="E207" s="333">
        <f>C207/(totalw-q18nw)</f>
        <v>0.5473321858864028</v>
      </c>
      <c r="F207" s="304">
        <v>18</v>
      </c>
      <c r="G207" s="332">
        <f t="shared" si="34"/>
        <v>0.43902439024390244</v>
      </c>
      <c r="H207" s="332">
        <f>F207/(totalb-q18nb)</f>
        <v>0.43902439024390244</v>
      </c>
      <c r="I207" s="331">
        <v>13</v>
      </c>
      <c r="J207" s="332">
        <f t="shared" si="35"/>
        <v>0.5909090909090909</v>
      </c>
      <c r="K207" s="333">
        <f>I207/(totalo-q18no)</f>
        <v>0.6190476190476191</v>
      </c>
    </row>
    <row r="208" spans="1:11" ht="11.25">
      <c r="A208" s="318"/>
      <c r="B208" s="304" t="s">
        <v>282</v>
      </c>
      <c r="C208" s="318">
        <v>107</v>
      </c>
      <c r="D208" s="332">
        <f t="shared" si="33"/>
        <v>0.18384879725085912</v>
      </c>
      <c r="E208" s="333">
        <f>C208/(totalw-q18nw)</f>
        <v>0.18416523235800344</v>
      </c>
      <c r="F208" s="304">
        <v>5</v>
      </c>
      <c r="G208" s="332">
        <f t="shared" si="34"/>
        <v>0.12195121951219512</v>
      </c>
      <c r="H208" s="332">
        <f>F208/(totalb-q18nb)</f>
        <v>0.12195121951219512</v>
      </c>
      <c r="I208" s="331">
        <v>4</v>
      </c>
      <c r="J208" s="332">
        <f t="shared" si="35"/>
        <v>0.18181818181818182</v>
      </c>
      <c r="K208" s="333">
        <f>I208/(totalo-q18no)</f>
        <v>0.19047619047619047</v>
      </c>
    </row>
    <row r="209" spans="1:11" ht="11.25">
      <c r="A209" s="318"/>
      <c r="B209" s="304" t="s">
        <v>283</v>
      </c>
      <c r="C209" s="318">
        <v>25</v>
      </c>
      <c r="D209" s="332">
        <f t="shared" si="33"/>
        <v>0.0429553264604811</v>
      </c>
      <c r="E209" s="333">
        <f>C209/(totalw-q18nw)</f>
        <v>0.043029259896729774</v>
      </c>
      <c r="F209" s="304">
        <v>1</v>
      </c>
      <c r="G209" s="332">
        <f t="shared" si="34"/>
        <v>0.024390243902439025</v>
      </c>
      <c r="H209" s="332">
        <f>F209/(totalb-q18nb)</f>
        <v>0.024390243902439025</v>
      </c>
      <c r="I209" s="331">
        <v>1</v>
      </c>
      <c r="J209" s="332">
        <f t="shared" si="35"/>
        <v>0.045454545454545456</v>
      </c>
      <c r="K209" s="333">
        <f>I209/(totalo-q18no)</f>
        <v>0.047619047619047616</v>
      </c>
    </row>
    <row r="210" spans="1:11" ht="11.25">
      <c r="A210" s="318"/>
      <c r="B210" s="304" t="s">
        <v>284</v>
      </c>
      <c r="C210" s="318">
        <v>1</v>
      </c>
      <c r="D210" s="332">
        <f t="shared" si="33"/>
        <v>0.001718213058419244</v>
      </c>
      <c r="E210" s="333">
        <f>C210/(totalw-q18nw)</f>
        <v>0.0017211703958691911</v>
      </c>
      <c r="F210" s="304">
        <v>0</v>
      </c>
      <c r="G210" s="332">
        <f t="shared" si="34"/>
        <v>0</v>
      </c>
      <c r="H210" s="332">
        <f>F210/(totalb-q18nb)</f>
        <v>0</v>
      </c>
      <c r="I210" s="331">
        <v>0</v>
      </c>
      <c r="J210" s="332">
        <f t="shared" si="35"/>
        <v>0</v>
      </c>
      <c r="K210" s="333">
        <f>I210/(totalo-q18no)</f>
        <v>0</v>
      </c>
    </row>
    <row r="211" spans="1:11" ht="11.25">
      <c r="A211" s="321"/>
      <c r="B211" s="308" t="s">
        <v>18</v>
      </c>
      <c r="C211" s="321">
        <v>1</v>
      </c>
      <c r="D211" s="335">
        <f t="shared" si="33"/>
        <v>0.001718213058419244</v>
      </c>
      <c r="E211" s="325" t="s">
        <v>19</v>
      </c>
      <c r="F211" s="308">
        <v>0</v>
      </c>
      <c r="G211" s="335">
        <f t="shared" si="34"/>
        <v>0</v>
      </c>
      <c r="H211" s="324" t="s">
        <v>19</v>
      </c>
      <c r="I211" s="334">
        <v>1</v>
      </c>
      <c r="J211" s="335">
        <f t="shared" si="35"/>
        <v>0.045454545454545456</v>
      </c>
      <c r="K211" s="325" t="s">
        <v>19</v>
      </c>
    </row>
    <row r="212" spans="1:11" ht="10.5" customHeight="1">
      <c r="A212" s="337" t="s">
        <v>294</v>
      </c>
      <c r="B212" s="304" t="s">
        <v>295</v>
      </c>
      <c r="C212" s="318"/>
      <c r="D212" s="340"/>
      <c r="E212" s="340"/>
      <c r="F212" s="318"/>
      <c r="G212" s="340"/>
      <c r="H212" s="336"/>
      <c r="I212" s="302"/>
      <c r="J212" s="340"/>
      <c r="K212" s="336"/>
    </row>
    <row r="213" spans="1:11" ht="10.5" customHeight="1">
      <c r="A213" s="318"/>
      <c r="B213" s="304" t="s">
        <v>296</v>
      </c>
      <c r="C213" s="318"/>
      <c r="D213" s="302"/>
      <c r="E213" s="302"/>
      <c r="F213" s="318"/>
      <c r="G213" s="302"/>
      <c r="H213" s="305"/>
      <c r="I213" s="302"/>
      <c r="J213" s="302"/>
      <c r="K213" s="305"/>
    </row>
    <row r="214" spans="1:11" ht="11.25">
      <c r="A214" s="318"/>
      <c r="B214" s="304" t="s">
        <v>280</v>
      </c>
      <c r="C214" s="318">
        <v>177</v>
      </c>
      <c r="D214" s="332">
        <f aca="true" t="shared" si="36" ref="D214:D219">C214/totalw</f>
        <v>0.30412371134020616</v>
      </c>
      <c r="E214" s="332">
        <f>C214/(totalw-q19nw)</f>
        <v>0.30517241379310345</v>
      </c>
      <c r="F214" s="331">
        <v>21</v>
      </c>
      <c r="G214" s="332">
        <f aca="true" t="shared" si="37" ref="G214:G219">F214/totalb</f>
        <v>0.5121951219512195</v>
      </c>
      <c r="H214" s="333">
        <f>F214/(totalb-q19nb)</f>
        <v>0.5121951219512195</v>
      </c>
      <c r="I214" s="331">
        <v>5</v>
      </c>
      <c r="J214" s="332">
        <f aca="true" t="shared" si="38" ref="J214:J219">I214/totalo</f>
        <v>0.22727272727272727</v>
      </c>
      <c r="K214" s="333">
        <f>I214/(totalo-q19no)</f>
        <v>0.23809523809523808</v>
      </c>
    </row>
    <row r="215" spans="1:11" ht="11.25">
      <c r="A215" s="318"/>
      <c r="B215" s="304" t="s">
        <v>281</v>
      </c>
      <c r="C215" s="318">
        <v>291</v>
      </c>
      <c r="D215" s="332">
        <f t="shared" si="36"/>
        <v>0.5</v>
      </c>
      <c r="E215" s="332">
        <f>C215/(totalw-q19nw)</f>
        <v>0.5017241379310344</v>
      </c>
      <c r="F215" s="331">
        <v>14</v>
      </c>
      <c r="G215" s="332">
        <f t="shared" si="37"/>
        <v>0.34146341463414637</v>
      </c>
      <c r="H215" s="333">
        <f>F215/(totalb-q19nb)</f>
        <v>0.34146341463414637</v>
      </c>
      <c r="I215" s="331">
        <v>13</v>
      </c>
      <c r="J215" s="332">
        <f t="shared" si="38"/>
        <v>0.5909090909090909</v>
      </c>
      <c r="K215" s="333">
        <f>I215/(totalo-q19no)</f>
        <v>0.6190476190476191</v>
      </c>
    </row>
    <row r="216" spans="1:11" ht="11.25">
      <c r="A216" s="318"/>
      <c r="B216" s="304" t="s">
        <v>282</v>
      </c>
      <c r="C216" s="318">
        <v>102</v>
      </c>
      <c r="D216" s="332">
        <f t="shared" si="36"/>
        <v>0.17525773195876287</v>
      </c>
      <c r="E216" s="332">
        <f>C216/(totalw-q19nw)</f>
        <v>0.17586206896551723</v>
      </c>
      <c r="F216" s="331">
        <v>5</v>
      </c>
      <c r="G216" s="332">
        <f t="shared" si="37"/>
        <v>0.12195121951219512</v>
      </c>
      <c r="H216" s="333">
        <f>F216/(totalb-q19nb)</f>
        <v>0.12195121951219512</v>
      </c>
      <c r="I216" s="331">
        <v>3</v>
      </c>
      <c r="J216" s="332">
        <f t="shared" si="38"/>
        <v>0.13636363636363635</v>
      </c>
      <c r="K216" s="333">
        <f>I216/(totalo-q19no)</f>
        <v>0.14285714285714285</v>
      </c>
    </row>
    <row r="217" spans="1:11" ht="11.25">
      <c r="A217" s="318"/>
      <c r="B217" s="304" t="s">
        <v>283</v>
      </c>
      <c r="C217" s="318">
        <v>9</v>
      </c>
      <c r="D217" s="332">
        <f t="shared" si="36"/>
        <v>0.015463917525773196</v>
      </c>
      <c r="E217" s="332">
        <f>C217/(totalw-q19nw)</f>
        <v>0.015517241379310345</v>
      </c>
      <c r="F217" s="331">
        <v>1</v>
      </c>
      <c r="G217" s="332">
        <f t="shared" si="37"/>
        <v>0.024390243902439025</v>
      </c>
      <c r="H217" s="333">
        <f>F217/(totalb-q19nb)</f>
        <v>0.024390243902439025</v>
      </c>
      <c r="I217" s="331">
        <v>0</v>
      </c>
      <c r="J217" s="332">
        <f t="shared" si="38"/>
        <v>0</v>
      </c>
      <c r="K217" s="333">
        <f>I217/(totalo-q19no)</f>
        <v>0</v>
      </c>
    </row>
    <row r="218" spans="1:11" ht="11.25">
      <c r="A218" s="318"/>
      <c r="B218" s="304" t="s">
        <v>284</v>
      </c>
      <c r="C218" s="318">
        <v>1</v>
      </c>
      <c r="D218" s="332">
        <f t="shared" si="36"/>
        <v>0.001718213058419244</v>
      </c>
      <c r="E218" s="332">
        <f>C218/(totalw-q19nw)</f>
        <v>0.0017241379310344827</v>
      </c>
      <c r="F218" s="331">
        <v>0</v>
      </c>
      <c r="G218" s="332">
        <f t="shared" si="37"/>
        <v>0</v>
      </c>
      <c r="H218" s="333">
        <f>F218/(totalb-q19nb)</f>
        <v>0</v>
      </c>
      <c r="I218" s="331">
        <v>0</v>
      </c>
      <c r="J218" s="332">
        <f t="shared" si="38"/>
        <v>0</v>
      </c>
      <c r="K218" s="333">
        <f>I218/(totalo-q19no)</f>
        <v>0</v>
      </c>
    </row>
    <row r="219" spans="1:11" ht="11.25">
      <c r="A219" s="321"/>
      <c r="B219" s="308" t="s">
        <v>18</v>
      </c>
      <c r="C219" s="321">
        <v>2</v>
      </c>
      <c r="D219" s="335">
        <f t="shared" si="36"/>
        <v>0.003436426116838488</v>
      </c>
      <c r="E219" s="324" t="s">
        <v>19</v>
      </c>
      <c r="F219" s="334">
        <v>0</v>
      </c>
      <c r="G219" s="335">
        <f t="shared" si="37"/>
        <v>0</v>
      </c>
      <c r="H219" s="325" t="s">
        <v>19</v>
      </c>
      <c r="I219" s="334">
        <v>1</v>
      </c>
      <c r="J219" s="335">
        <f t="shared" si="38"/>
        <v>0.045454545454545456</v>
      </c>
      <c r="K219" s="325" t="s">
        <v>19</v>
      </c>
    </row>
    <row r="220" spans="1:11" ht="10.5" customHeight="1">
      <c r="A220" s="337" t="s">
        <v>298</v>
      </c>
      <c r="B220" s="304" t="s">
        <v>299</v>
      </c>
      <c r="C220" s="318"/>
      <c r="D220" s="340"/>
      <c r="E220" s="340"/>
      <c r="F220" s="318"/>
      <c r="G220" s="340"/>
      <c r="H220" s="336"/>
      <c r="I220" s="302"/>
      <c r="J220" s="340"/>
      <c r="K220" s="336"/>
    </row>
    <row r="221" spans="1:11" ht="10.5" customHeight="1">
      <c r="A221" s="318"/>
      <c r="B221" s="304" t="s">
        <v>280</v>
      </c>
      <c r="C221" s="318">
        <v>130</v>
      </c>
      <c r="D221" s="332">
        <f aca="true" t="shared" si="39" ref="D221:D226">C221/totalw</f>
        <v>0.22336769759450173</v>
      </c>
      <c r="E221" s="332">
        <f>C221/(totalw-q20nw)</f>
        <v>0.22375215146299485</v>
      </c>
      <c r="F221" s="331">
        <v>13</v>
      </c>
      <c r="G221" s="332">
        <f aca="true" t="shared" si="40" ref="G221:G226">F221/totalb</f>
        <v>0.3170731707317073</v>
      </c>
      <c r="H221" s="333">
        <f>F221/(totalb-q20nb)</f>
        <v>0.3170731707317073</v>
      </c>
      <c r="I221" s="331">
        <v>1</v>
      </c>
      <c r="J221" s="332">
        <f aca="true" t="shared" si="41" ref="J221:J226">I221/totalo</f>
        <v>0.045454545454545456</v>
      </c>
      <c r="K221" s="333">
        <f>I221/(totalo-q20no)</f>
        <v>0.047619047619047616</v>
      </c>
    </row>
    <row r="222" spans="1:11" ht="11.25">
      <c r="A222" s="318"/>
      <c r="B222" s="304" t="s">
        <v>281</v>
      </c>
      <c r="C222" s="318">
        <v>305</v>
      </c>
      <c r="D222" s="332">
        <f t="shared" si="39"/>
        <v>0.5240549828178694</v>
      </c>
      <c r="E222" s="332">
        <f>C222/(totalw-q20nw)</f>
        <v>0.5249569707401033</v>
      </c>
      <c r="F222" s="331">
        <v>17</v>
      </c>
      <c r="G222" s="332">
        <f t="shared" si="40"/>
        <v>0.4146341463414634</v>
      </c>
      <c r="H222" s="333">
        <f>F222/(totalb-q20nb)</f>
        <v>0.4146341463414634</v>
      </c>
      <c r="I222" s="331">
        <v>13</v>
      </c>
      <c r="J222" s="332">
        <f t="shared" si="41"/>
        <v>0.5909090909090909</v>
      </c>
      <c r="K222" s="333">
        <f>I222/(totalo-q20no)</f>
        <v>0.6190476190476191</v>
      </c>
    </row>
    <row r="223" spans="1:11" ht="11.25">
      <c r="A223" s="318"/>
      <c r="B223" s="304" t="s">
        <v>282</v>
      </c>
      <c r="C223" s="318">
        <v>124</v>
      </c>
      <c r="D223" s="332">
        <f t="shared" si="39"/>
        <v>0.21305841924398625</v>
      </c>
      <c r="E223" s="332">
        <f>C223/(totalw-q20nw)</f>
        <v>0.2134251290877797</v>
      </c>
      <c r="F223" s="331">
        <v>11</v>
      </c>
      <c r="G223" s="332">
        <f t="shared" si="40"/>
        <v>0.2682926829268293</v>
      </c>
      <c r="H223" s="333">
        <f>F223/(totalb-q20nb)</f>
        <v>0.2682926829268293</v>
      </c>
      <c r="I223" s="331">
        <v>6</v>
      </c>
      <c r="J223" s="332">
        <f t="shared" si="41"/>
        <v>0.2727272727272727</v>
      </c>
      <c r="K223" s="333">
        <f>I223/(totalo-q20no)</f>
        <v>0.2857142857142857</v>
      </c>
    </row>
    <row r="224" spans="1:11" ht="11.25">
      <c r="A224" s="318"/>
      <c r="B224" s="304" t="s">
        <v>283</v>
      </c>
      <c r="C224" s="318">
        <v>21</v>
      </c>
      <c r="D224" s="332">
        <f t="shared" si="39"/>
        <v>0.03608247422680412</v>
      </c>
      <c r="E224" s="332">
        <f>C224/(totalw-q20nw)</f>
        <v>0.03614457831325301</v>
      </c>
      <c r="F224" s="331">
        <v>0</v>
      </c>
      <c r="G224" s="332">
        <f t="shared" si="40"/>
        <v>0</v>
      </c>
      <c r="H224" s="333">
        <f>F224/(totalb-q20nb)</f>
        <v>0</v>
      </c>
      <c r="I224" s="331">
        <v>1</v>
      </c>
      <c r="J224" s="332">
        <f t="shared" si="41"/>
        <v>0.045454545454545456</v>
      </c>
      <c r="K224" s="333">
        <f>I224/(totalo-q20no)</f>
        <v>0.047619047619047616</v>
      </c>
    </row>
    <row r="225" spans="1:11" ht="11.25">
      <c r="A225" s="318"/>
      <c r="B225" s="304" t="s">
        <v>284</v>
      </c>
      <c r="C225" s="318">
        <v>1</v>
      </c>
      <c r="D225" s="332">
        <f t="shared" si="39"/>
        <v>0.001718213058419244</v>
      </c>
      <c r="E225" s="332">
        <f>C225/(totalw-q20nw)</f>
        <v>0.0017211703958691911</v>
      </c>
      <c r="F225" s="331">
        <v>0</v>
      </c>
      <c r="G225" s="332">
        <f t="shared" si="40"/>
        <v>0</v>
      </c>
      <c r="H225" s="333">
        <f>F225/(totalb-q20nb)</f>
        <v>0</v>
      </c>
      <c r="I225" s="331">
        <v>0</v>
      </c>
      <c r="J225" s="332">
        <f t="shared" si="41"/>
        <v>0</v>
      </c>
      <c r="K225" s="333">
        <f>I225/(totalo-q20no)</f>
        <v>0</v>
      </c>
    </row>
    <row r="226" spans="1:11" ht="11.25">
      <c r="A226" s="321"/>
      <c r="B226" s="308" t="s">
        <v>18</v>
      </c>
      <c r="C226" s="321">
        <v>1</v>
      </c>
      <c r="D226" s="335">
        <f t="shared" si="39"/>
        <v>0.001718213058419244</v>
      </c>
      <c r="E226" s="324" t="s">
        <v>19</v>
      </c>
      <c r="F226" s="334">
        <v>0</v>
      </c>
      <c r="G226" s="335">
        <f t="shared" si="40"/>
        <v>0</v>
      </c>
      <c r="H226" s="325" t="s">
        <v>19</v>
      </c>
      <c r="I226" s="334">
        <v>1</v>
      </c>
      <c r="J226" s="335">
        <f t="shared" si="41"/>
        <v>0.045454545454545456</v>
      </c>
      <c r="K226" s="325" t="s">
        <v>19</v>
      </c>
    </row>
    <row r="227" spans="1:11" ht="10.5" customHeight="1">
      <c r="A227" s="337" t="s">
        <v>300</v>
      </c>
      <c r="B227" s="304" t="s">
        <v>301</v>
      </c>
      <c r="C227" s="318"/>
      <c r="D227" s="340"/>
      <c r="E227" s="340"/>
      <c r="F227" s="318"/>
      <c r="G227" s="340"/>
      <c r="H227" s="336"/>
      <c r="I227" s="302"/>
      <c r="J227" s="340"/>
      <c r="K227" s="336"/>
    </row>
    <row r="228" spans="1:11" ht="10.5" customHeight="1">
      <c r="A228" s="318"/>
      <c r="B228" s="304" t="s">
        <v>302</v>
      </c>
      <c r="C228" s="318"/>
      <c r="D228" s="302"/>
      <c r="E228" s="302"/>
      <c r="F228" s="318"/>
      <c r="G228" s="302"/>
      <c r="H228" s="305"/>
      <c r="I228" s="302"/>
      <c r="J228" s="302"/>
      <c r="K228" s="305"/>
    </row>
    <row r="229" spans="1:11" ht="11.25">
      <c r="A229" s="318"/>
      <c r="B229" s="304" t="s">
        <v>280</v>
      </c>
      <c r="C229" s="318">
        <v>238</v>
      </c>
      <c r="D229" s="332">
        <f aca="true" t="shared" si="42" ref="D229:D234">C229/totalw</f>
        <v>0.40893470790378006</v>
      </c>
      <c r="E229" s="332">
        <f>C229/(totalw-q21nw)</f>
        <v>0.4103448275862069</v>
      </c>
      <c r="F229" s="331">
        <v>20</v>
      </c>
      <c r="G229" s="332">
        <f aca="true" t="shared" si="43" ref="G229:G234">F229/totalb</f>
        <v>0.4878048780487805</v>
      </c>
      <c r="H229" s="333">
        <f>F229/(totalb-q21nb)</f>
        <v>0.4878048780487805</v>
      </c>
      <c r="I229" s="331">
        <v>8</v>
      </c>
      <c r="J229" s="332">
        <f aca="true" t="shared" si="44" ref="J229:J234">I229/totalo</f>
        <v>0.36363636363636365</v>
      </c>
      <c r="K229" s="333">
        <f>I229/(totalo-q21no)</f>
        <v>0.38095238095238093</v>
      </c>
    </row>
    <row r="230" spans="1:11" ht="11.25">
      <c r="A230" s="318"/>
      <c r="B230" s="304" t="s">
        <v>281</v>
      </c>
      <c r="C230" s="318">
        <v>255</v>
      </c>
      <c r="D230" s="332">
        <f t="shared" si="42"/>
        <v>0.4381443298969072</v>
      </c>
      <c r="E230" s="332">
        <f>C230/(totalw-q21nw)</f>
        <v>0.4396551724137931</v>
      </c>
      <c r="F230" s="331">
        <v>14</v>
      </c>
      <c r="G230" s="332">
        <f t="shared" si="43"/>
        <v>0.34146341463414637</v>
      </c>
      <c r="H230" s="333">
        <f>F230/(totalb-q21nb)</f>
        <v>0.34146341463414637</v>
      </c>
      <c r="I230" s="331">
        <v>10</v>
      </c>
      <c r="J230" s="332">
        <f t="shared" si="44"/>
        <v>0.45454545454545453</v>
      </c>
      <c r="K230" s="333">
        <f>I230/(totalo-q21no)</f>
        <v>0.47619047619047616</v>
      </c>
    </row>
    <row r="231" spans="1:11" ht="11.25">
      <c r="A231" s="318"/>
      <c r="B231" s="304" t="s">
        <v>282</v>
      </c>
      <c r="C231" s="318">
        <v>75</v>
      </c>
      <c r="D231" s="332">
        <f t="shared" si="42"/>
        <v>0.12886597938144329</v>
      </c>
      <c r="E231" s="332">
        <f>C231/(totalw-q21nw)</f>
        <v>0.12931034482758622</v>
      </c>
      <c r="F231" s="331">
        <v>5</v>
      </c>
      <c r="G231" s="332">
        <f t="shared" si="43"/>
        <v>0.12195121951219512</v>
      </c>
      <c r="H231" s="333">
        <f>F231/(totalb-q21nb)</f>
        <v>0.12195121951219512</v>
      </c>
      <c r="I231" s="331">
        <v>2</v>
      </c>
      <c r="J231" s="332">
        <f t="shared" si="44"/>
        <v>0.09090909090909091</v>
      </c>
      <c r="K231" s="333">
        <f>I231/(totalo-q21no)</f>
        <v>0.09523809523809523</v>
      </c>
    </row>
    <row r="232" spans="1:11" ht="11.25">
      <c r="A232" s="318"/>
      <c r="B232" s="304" t="s">
        <v>283</v>
      </c>
      <c r="C232" s="318">
        <v>12</v>
      </c>
      <c r="D232" s="332">
        <f t="shared" si="42"/>
        <v>0.020618556701030927</v>
      </c>
      <c r="E232" s="332">
        <f>C232/(totalw-q21nw)</f>
        <v>0.020689655172413793</v>
      </c>
      <c r="F232" s="331">
        <v>2</v>
      </c>
      <c r="G232" s="332">
        <f t="shared" si="43"/>
        <v>0.04878048780487805</v>
      </c>
      <c r="H232" s="333">
        <f>F232/(totalb-q21nb)</f>
        <v>0.04878048780487805</v>
      </c>
      <c r="I232" s="331">
        <v>1</v>
      </c>
      <c r="J232" s="332">
        <f t="shared" si="44"/>
        <v>0.045454545454545456</v>
      </c>
      <c r="K232" s="333">
        <f>I232/(totalo-q21no)</f>
        <v>0.047619047619047616</v>
      </c>
    </row>
    <row r="233" spans="1:11" ht="11.25">
      <c r="A233" s="318"/>
      <c r="B233" s="304" t="s">
        <v>284</v>
      </c>
      <c r="C233" s="318">
        <v>0</v>
      </c>
      <c r="D233" s="332">
        <f t="shared" si="42"/>
        <v>0</v>
      </c>
      <c r="E233" s="332">
        <f>C233/(totalw-q21nw)</f>
        <v>0</v>
      </c>
      <c r="F233" s="331">
        <v>0</v>
      </c>
      <c r="G233" s="332">
        <f t="shared" si="43"/>
        <v>0</v>
      </c>
      <c r="H233" s="333">
        <f>F233/(totalb-q21nb)</f>
        <v>0</v>
      </c>
      <c r="I233" s="331">
        <v>0</v>
      </c>
      <c r="J233" s="332">
        <f t="shared" si="44"/>
        <v>0</v>
      </c>
      <c r="K233" s="333">
        <f>I233/(totalo-q21no)</f>
        <v>0</v>
      </c>
    </row>
    <row r="234" spans="1:11" ht="11.25">
      <c r="A234" s="321"/>
      <c r="B234" s="308" t="s">
        <v>18</v>
      </c>
      <c r="C234" s="321">
        <v>2</v>
      </c>
      <c r="D234" s="335">
        <f t="shared" si="42"/>
        <v>0.003436426116838488</v>
      </c>
      <c r="E234" s="324" t="s">
        <v>19</v>
      </c>
      <c r="F234" s="334">
        <v>0</v>
      </c>
      <c r="G234" s="335">
        <f t="shared" si="43"/>
        <v>0</v>
      </c>
      <c r="H234" s="325" t="s">
        <v>19</v>
      </c>
      <c r="I234" s="334">
        <v>1</v>
      </c>
      <c r="J234" s="335">
        <f t="shared" si="44"/>
        <v>0.045454545454545456</v>
      </c>
      <c r="K234" s="325" t="s">
        <v>19</v>
      </c>
    </row>
    <row r="235" spans="1:11" ht="10.5" customHeight="1">
      <c r="A235" s="337" t="s">
        <v>303</v>
      </c>
      <c r="B235" s="304" t="s">
        <v>304</v>
      </c>
      <c r="C235" s="318"/>
      <c r="D235" s="340"/>
      <c r="E235" s="340"/>
      <c r="F235" s="318"/>
      <c r="G235" s="340"/>
      <c r="H235" s="336"/>
      <c r="I235" s="302"/>
      <c r="J235" s="340"/>
      <c r="K235" s="336"/>
    </row>
    <row r="236" spans="1:11" ht="10.5" customHeight="1">
      <c r="A236" s="318"/>
      <c r="B236" s="304" t="s">
        <v>305</v>
      </c>
      <c r="C236" s="318"/>
      <c r="D236" s="302"/>
      <c r="E236" s="302"/>
      <c r="F236" s="318"/>
      <c r="G236" s="302"/>
      <c r="H236" s="305"/>
      <c r="I236" s="302"/>
      <c r="J236" s="302"/>
      <c r="K236" s="305"/>
    </row>
    <row r="237" spans="1:11" ht="11.25">
      <c r="A237" s="318"/>
      <c r="B237" s="304" t="s">
        <v>280</v>
      </c>
      <c r="C237" s="318">
        <v>240</v>
      </c>
      <c r="D237" s="332">
        <f aca="true" t="shared" si="45" ref="D237:D242">C237/totalw</f>
        <v>0.41237113402061853</v>
      </c>
      <c r="E237" s="332">
        <f>C237/(totalw-q22nw)</f>
        <v>0.41379310344827586</v>
      </c>
      <c r="F237" s="331">
        <v>21</v>
      </c>
      <c r="G237" s="332">
        <f aca="true" t="shared" si="46" ref="G237:G242">F237/totalb</f>
        <v>0.5121951219512195</v>
      </c>
      <c r="H237" s="333">
        <f>F237/(totalb-q22nb)</f>
        <v>0.525</v>
      </c>
      <c r="I237" s="331">
        <v>6</v>
      </c>
      <c r="J237" s="332">
        <f aca="true" t="shared" si="47" ref="J237:J242">I237/totalo</f>
        <v>0.2727272727272727</v>
      </c>
      <c r="K237" s="333">
        <f>I237/(totalo-q22no)</f>
        <v>0.2857142857142857</v>
      </c>
    </row>
    <row r="238" spans="1:11" ht="11.25">
      <c r="A238" s="318"/>
      <c r="B238" s="304" t="s">
        <v>281</v>
      </c>
      <c r="C238" s="318">
        <v>254</v>
      </c>
      <c r="D238" s="332">
        <f t="shared" si="45"/>
        <v>0.436426116838488</v>
      </c>
      <c r="E238" s="332">
        <f>C238/(totalw-q22nw)</f>
        <v>0.4379310344827586</v>
      </c>
      <c r="F238" s="331">
        <v>15</v>
      </c>
      <c r="G238" s="332">
        <f t="shared" si="46"/>
        <v>0.36585365853658536</v>
      </c>
      <c r="H238" s="333">
        <f>F238/(totalb-q22nb)</f>
        <v>0.375</v>
      </c>
      <c r="I238" s="331">
        <v>9</v>
      </c>
      <c r="J238" s="332">
        <f t="shared" si="47"/>
        <v>0.4090909090909091</v>
      </c>
      <c r="K238" s="333">
        <f>I238/(totalo-q22no)</f>
        <v>0.42857142857142855</v>
      </c>
    </row>
    <row r="239" spans="1:11" ht="11.25">
      <c r="A239" s="318"/>
      <c r="B239" s="304" t="s">
        <v>282</v>
      </c>
      <c r="C239" s="318">
        <v>76</v>
      </c>
      <c r="D239" s="332">
        <f t="shared" si="45"/>
        <v>0.13058419243986255</v>
      </c>
      <c r="E239" s="332">
        <f>C239/(totalw-q22nw)</f>
        <v>0.1310344827586207</v>
      </c>
      <c r="F239" s="331">
        <v>4</v>
      </c>
      <c r="G239" s="332">
        <f t="shared" si="46"/>
        <v>0.0975609756097561</v>
      </c>
      <c r="H239" s="333">
        <f>F239/(totalb-q22nb)</f>
        <v>0.1</v>
      </c>
      <c r="I239" s="331">
        <v>6</v>
      </c>
      <c r="J239" s="332">
        <f t="shared" si="47"/>
        <v>0.2727272727272727</v>
      </c>
      <c r="K239" s="333">
        <f>I239/(totalo-q22no)</f>
        <v>0.2857142857142857</v>
      </c>
    </row>
    <row r="240" spans="1:11" ht="11.25">
      <c r="A240" s="318"/>
      <c r="B240" s="304" t="s">
        <v>283</v>
      </c>
      <c r="C240" s="318">
        <v>10</v>
      </c>
      <c r="D240" s="332">
        <f t="shared" si="45"/>
        <v>0.01718213058419244</v>
      </c>
      <c r="E240" s="332">
        <f>C240/(totalw-q22nw)</f>
        <v>0.017241379310344827</v>
      </c>
      <c r="F240" s="331">
        <v>0</v>
      </c>
      <c r="G240" s="332">
        <f t="shared" si="46"/>
        <v>0</v>
      </c>
      <c r="H240" s="333">
        <f>F240/(totalb-q22nb)</f>
        <v>0</v>
      </c>
      <c r="I240" s="331">
        <v>0</v>
      </c>
      <c r="J240" s="332">
        <f t="shared" si="47"/>
        <v>0</v>
      </c>
      <c r="K240" s="333">
        <f>I240/(totalo-q22no)</f>
        <v>0</v>
      </c>
    </row>
    <row r="241" spans="1:11" ht="11.25">
      <c r="A241" s="318"/>
      <c r="B241" s="304" t="s">
        <v>284</v>
      </c>
      <c r="C241" s="318">
        <v>0</v>
      </c>
      <c r="D241" s="332">
        <f t="shared" si="45"/>
        <v>0</v>
      </c>
      <c r="E241" s="332">
        <f>C241/(totalw-q22nw)</f>
        <v>0</v>
      </c>
      <c r="F241" s="331">
        <v>0</v>
      </c>
      <c r="G241" s="332">
        <f t="shared" si="46"/>
        <v>0</v>
      </c>
      <c r="H241" s="333">
        <f>F241/(totalb-q22nb)</f>
        <v>0</v>
      </c>
      <c r="I241" s="331">
        <v>0</v>
      </c>
      <c r="J241" s="332">
        <f t="shared" si="47"/>
        <v>0</v>
      </c>
      <c r="K241" s="333">
        <f>I241/(totalo-q22no)</f>
        <v>0</v>
      </c>
    </row>
    <row r="242" spans="1:11" ht="11.25">
      <c r="A242" s="321"/>
      <c r="B242" s="308" t="s">
        <v>18</v>
      </c>
      <c r="C242" s="321">
        <v>2</v>
      </c>
      <c r="D242" s="335">
        <f t="shared" si="45"/>
        <v>0.003436426116838488</v>
      </c>
      <c r="E242" s="324" t="s">
        <v>19</v>
      </c>
      <c r="F242" s="334">
        <v>1</v>
      </c>
      <c r="G242" s="335">
        <f t="shared" si="46"/>
        <v>0.024390243902439025</v>
      </c>
      <c r="H242" s="325" t="s">
        <v>19</v>
      </c>
      <c r="I242" s="334">
        <v>1</v>
      </c>
      <c r="J242" s="335">
        <f t="shared" si="47"/>
        <v>0.045454545454545456</v>
      </c>
      <c r="K242" s="325" t="s">
        <v>19</v>
      </c>
    </row>
    <row r="243" spans="1:11" ht="9.75" customHeight="1">
      <c r="A243" s="316" t="s">
        <v>265</v>
      </c>
      <c r="B243" s="296"/>
      <c r="C243" s="296"/>
      <c r="D243" s="338"/>
      <c r="E243" s="338"/>
      <c r="F243" s="296"/>
      <c r="G243" s="338"/>
      <c r="H243" s="338"/>
      <c r="I243" s="296"/>
      <c r="J243" s="338"/>
      <c r="K243" s="339"/>
    </row>
    <row r="244" spans="1:11" ht="9.75" customHeight="1">
      <c r="A244" s="374" t="s">
        <v>310</v>
      </c>
      <c r="B244" s="375"/>
      <c r="C244" s="307"/>
      <c r="D244" s="307"/>
      <c r="E244" s="307"/>
      <c r="F244" s="307"/>
      <c r="G244" s="307"/>
      <c r="H244" s="307"/>
      <c r="I244" s="307"/>
      <c r="J244" s="307"/>
      <c r="K244" s="322"/>
    </row>
    <row r="247" spans="2:33" ht="11.25">
      <c r="B247" s="310"/>
      <c r="C247" s="310"/>
      <c r="D247" s="310"/>
      <c r="N247" s="310"/>
      <c r="O247" s="310"/>
      <c r="P247" s="310"/>
      <c r="AB247" s="310"/>
      <c r="AC247" s="310"/>
      <c r="AD247" s="310"/>
      <c r="AE247" s="310"/>
      <c r="AF247" s="310"/>
      <c r="AG247" s="310"/>
    </row>
  </sheetData>
  <mergeCells count="1">
    <mergeCell ref="A244:B244"/>
  </mergeCells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2" manualBreakCount="2">
    <brk id="47" max="10" man="1"/>
    <brk id="145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6"/>
  <sheetViews>
    <sheetView showGridLines="0" workbookViewId="0" topLeftCell="A1">
      <selection activeCell="A95" sqref="A95"/>
    </sheetView>
  </sheetViews>
  <sheetFormatPr defaultColWidth="9.140625" defaultRowHeight="12.75"/>
  <cols>
    <col min="1" max="1" width="4.57421875" style="382" customWidth="1"/>
    <col min="2" max="2" width="28.00390625" style="382" customWidth="1"/>
    <col min="3" max="3" width="7.57421875" style="382" customWidth="1"/>
    <col min="4" max="4" width="14.00390625" style="382" customWidth="1"/>
    <col min="5" max="5" width="13.00390625" style="382" customWidth="1"/>
    <col min="6" max="6" width="7.57421875" style="382" customWidth="1"/>
    <col min="7" max="8" width="14.00390625" style="382" customWidth="1"/>
    <col min="9" max="9" width="7.57421875" style="382" customWidth="1"/>
    <col min="10" max="11" width="14.00390625" style="382" customWidth="1"/>
    <col min="12" max="12" width="8.00390625" style="382" customWidth="1"/>
    <col min="13" max="13" width="3.57421875" style="382" customWidth="1"/>
    <col min="14" max="14" width="28.421875" style="382" customWidth="1"/>
    <col min="15" max="15" width="8.00390625" style="382" customWidth="1"/>
    <col min="16" max="17" width="11.28125" style="382" customWidth="1"/>
    <col min="18" max="16384" width="8.00390625" style="382" customWidth="1"/>
  </cols>
  <sheetData>
    <row r="1" spans="1:17" ht="12.75">
      <c r="A1" s="376" t="s">
        <v>311</v>
      </c>
      <c r="B1" s="377"/>
      <c r="C1" s="378"/>
      <c r="D1" s="379"/>
      <c r="E1" s="379"/>
      <c r="F1" s="380"/>
      <c r="G1" s="380"/>
      <c r="H1" s="380"/>
      <c r="I1" s="380"/>
      <c r="J1" s="380"/>
      <c r="K1" s="381" t="s">
        <v>312</v>
      </c>
      <c r="N1" s="383"/>
      <c r="O1" s="383"/>
      <c r="P1" s="383"/>
      <c r="Q1" s="383"/>
    </row>
    <row r="2" spans="1:17" ht="12.75">
      <c r="A2" s="384" t="s">
        <v>313</v>
      </c>
      <c r="B2" s="385"/>
      <c r="C2" s="386"/>
      <c r="D2" s="386"/>
      <c r="E2" s="386"/>
      <c r="F2" s="387"/>
      <c r="G2" s="387"/>
      <c r="H2" s="387"/>
      <c r="I2" s="387"/>
      <c r="J2" s="387"/>
      <c r="K2" s="388"/>
      <c r="N2" s="383"/>
      <c r="O2" s="383"/>
      <c r="P2" s="383"/>
      <c r="Q2" s="383"/>
    </row>
    <row r="3" spans="1:17" ht="12.75">
      <c r="A3" s="6" t="s">
        <v>314</v>
      </c>
      <c r="B3" s="385"/>
      <c r="C3" s="386"/>
      <c r="D3" s="386"/>
      <c r="E3" s="386"/>
      <c r="F3" s="387"/>
      <c r="G3" s="387"/>
      <c r="H3" s="387"/>
      <c r="I3" s="387"/>
      <c r="J3" s="387"/>
      <c r="K3" s="388"/>
      <c r="N3" s="383"/>
      <c r="O3" s="383"/>
      <c r="P3" s="383"/>
      <c r="Q3" s="383"/>
    </row>
    <row r="4" spans="1:12" ht="12.75">
      <c r="A4" s="389" t="s">
        <v>315</v>
      </c>
      <c r="B4" s="390"/>
      <c r="C4" s="391"/>
      <c r="D4" s="391"/>
      <c r="E4" s="391"/>
      <c r="F4" s="391"/>
      <c r="G4" s="391"/>
      <c r="H4" s="392"/>
      <c r="I4" s="392"/>
      <c r="J4" s="392"/>
      <c r="K4" s="393"/>
      <c r="L4" s="383"/>
    </row>
    <row r="5" spans="1:19" ht="11.25">
      <c r="A5" s="394"/>
      <c r="B5" s="380"/>
      <c r="C5" s="395"/>
      <c r="D5" s="396" t="s">
        <v>5</v>
      </c>
      <c r="E5" s="397" t="s">
        <v>5</v>
      </c>
      <c r="F5" s="394"/>
      <c r="G5" s="377"/>
      <c r="H5" s="396"/>
      <c r="I5" s="396"/>
      <c r="J5" s="396"/>
      <c r="K5" s="397"/>
      <c r="L5" s="398"/>
      <c r="N5" s="383"/>
      <c r="O5" s="383"/>
      <c r="P5" s="398"/>
      <c r="Q5" s="398"/>
      <c r="R5" s="398"/>
      <c r="S5" s="398"/>
    </row>
    <row r="6" spans="1:20" ht="11.25">
      <c r="A6" s="399" t="s">
        <v>6</v>
      </c>
      <c r="B6" s="385"/>
      <c r="C6" s="400"/>
      <c r="D6" s="401" t="s">
        <v>7</v>
      </c>
      <c r="E6" s="402" t="s">
        <v>8</v>
      </c>
      <c r="F6" s="400"/>
      <c r="G6" s="385"/>
      <c r="H6" s="401"/>
      <c r="I6" s="401"/>
      <c r="J6" s="401"/>
      <c r="K6" s="402"/>
      <c r="L6" s="398"/>
      <c r="P6" s="398"/>
      <c r="Q6" s="398"/>
      <c r="R6" s="398"/>
      <c r="S6" s="398"/>
      <c r="T6" s="398"/>
    </row>
    <row r="7" spans="1:19" ht="11.25">
      <c r="A7" s="403"/>
      <c r="B7" s="391"/>
      <c r="C7" s="404" t="s">
        <v>9</v>
      </c>
      <c r="D7" s="405" t="s">
        <v>10</v>
      </c>
      <c r="E7" s="406" t="s">
        <v>10</v>
      </c>
      <c r="F7" s="400"/>
      <c r="G7" s="385"/>
      <c r="H7" s="401"/>
      <c r="I7" s="401"/>
      <c r="J7" s="401"/>
      <c r="K7" s="402"/>
      <c r="L7" s="398"/>
      <c r="O7" s="398"/>
      <c r="P7" s="398"/>
      <c r="Q7" s="398"/>
      <c r="R7" s="398"/>
      <c r="S7" s="398"/>
    </row>
    <row r="8" spans="1:17" ht="11.25">
      <c r="A8" s="407"/>
      <c r="B8" s="408" t="s">
        <v>11</v>
      </c>
      <c r="C8" s="409">
        <v>645</v>
      </c>
      <c r="D8" s="410">
        <v>1</v>
      </c>
      <c r="E8" s="411"/>
      <c r="F8" s="400"/>
      <c r="G8" s="385"/>
      <c r="H8" s="385"/>
      <c r="I8" s="385"/>
      <c r="J8" s="385"/>
      <c r="K8" s="388"/>
      <c r="P8" s="412"/>
      <c r="Q8" s="412"/>
    </row>
    <row r="9" spans="1:16" ht="10.5" customHeight="1">
      <c r="A9" s="413" t="s">
        <v>316</v>
      </c>
      <c r="B9" s="387" t="s">
        <v>317</v>
      </c>
      <c r="C9" s="413"/>
      <c r="D9" s="414"/>
      <c r="E9" s="388"/>
      <c r="F9" s="400"/>
      <c r="G9" s="385"/>
      <c r="H9" s="385"/>
      <c r="I9" s="385"/>
      <c r="J9" s="385"/>
      <c r="K9" s="388"/>
      <c r="N9" s="383"/>
      <c r="O9" s="383"/>
      <c r="P9" s="412"/>
    </row>
    <row r="10" spans="1:11" ht="10.5" customHeight="1">
      <c r="A10" s="400"/>
      <c r="B10" s="387" t="s">
        <v>318</v>
      </c>
      <c r="C10" s="400"/>
      <c r="D10" s="385"/>
      <c r="E10" s="388"/>
      <c r="F10" s="400"/>
      <c r="G10" s="385"/>
      <c r="H10" s="385"/>
      <c r="I10" s="385"/>
      <c r="J10" s="385"/>
      <c r="K10" s="388"/>
    </row>
    <row r="11" spans="1:17" ht="10.5" customHeight="1">
      <c r="A11" s="400"/>
      <c r="B11" s="387" t="s">
        <v>319</v>
      </c>
      <c r="C11" s="413">
        <v>201</v>
      </c>
      <c r="D11" s="414">
        <f>C11/total</f>
        <v>0.3116279069767442</v>
      </c>
      <c r="E11" s="415">
        <f>C11/(total-q28an)</f>
        <v>0.31259720062208396</v>
      </c>
      <c r="F11" s="400"/>
      <c r="G11" s="385"/>
      <c r="H11" s="385"/>
      <c r="I11" s="385"/>
      <c r="J11" s="385"/>
      <c r="K11" s="388"/>
      <c r="P11" s="412"/>
      <c r="Q11" s="412"/>
    </row>
    <row r="12" spans="1:17" ht="10.5" customHeight="1">
      <c r="A12" s="400"/>
      <c r="B12" s="387" t="s">
        <v>320</v>
      </c>
      <c r="C12" s="413">
        <v>315</v>
      </c>
      <c r="D12" s="414">
        <f>C12/total</f>
        <v>0.4883720930232558</v>
      </c>
      <c r="E12" s="415">
        <f>C12/(total-q28an)</f>
        <v>0.48989113530326595</v>
      </c>
      <c r="F12" s="400"/>
      <c r="G12" s="385"/>
      <c r="H12" s="385"/>
      <c r="I12" s="385"/>
      <c r="J12" s="385"/>
      <c r="K12" s="388"/>
      <c r="P12" s="412"/>
      <c r="Q12" s="412"/>
    </row>
    <row r="13" spans="1:17" ht="10.5" customHeight="1">
      <c r="A13" s="400"/>
      <c r="B13" s="387" t="s">
        <v>321</v>
      </c>
      <c r="C13" s="413">
        <v>106</v>
      </c>
      <c r="D13" s="414">
        <f>C13/total</f>
        <v>0.16434108527131783</v>
      </c>
      <c r="E13" s="415">
        <f>C13/(total-q28an)</f>
        <v>0.16485225505443235</v>
      </c>
      <c r="F13" s="400"/>
      <c r="G13" s="385"/>
      <c r="H13" s="385"/>
      <c r="I13" s="385"/>
      <c r="J13" s="385"/>
      <c r="K13" s="388"/>
      <c r="P13" s="412"/>
      <c r="Q13" s="412"/>
    </row>
    <row r="14" spans="1:17" ht="10.5" customHeight="1">
      <c r="A14" s="400"/>
      <c r="B14" s="387" t="s">
        <v>322</v>
      </c>
      <c r="C14" s="413">
        <v>21</v>
      </c>
      <c r="D14" s="414">
        <f>C14/total</f>
        <v>0.03255813953488372</v>
      </c>
      <c r="E14" s="415">
        <f>C14/(total-q28an)</f>
        <v>0.03265940902021773</v>
      </c>
      <c r="F14" s="400"/>
      <c r="G14" s="385"/>
      <c r="H14" s="385"/>
      <c r="I14" s="385"/>
      <c r="J14" s="385"/>
      <c r="K14" s="388"/>
      <c r="P14" s="412"/>
      <c r="Q14" s="412"/>
    </row>
    <row r="15" spans="1:17" ht="10.5" customHeight="1">
      <c r="A15" s="403"/>
      <c r="B15" s="392" t="s">
        <v>160</v>
      </c>
      <c r="C15" s="416">
        <v>2</v>
      </c>
      <c r="D15" s="417">
        <f>C15/total</f>
        <v>0.0031007751937984496</v>
      </c>
      <c r="E15" s="406" t="s">
        <v>19</v>
      </c>
      <c r="F15" s="400"/>
      <c r="G15" s="385"/>
      <c r="H15" s="385"/>
      <c r="I15" s="385"/>
      <c r="J15" s="385"/>
      <c r="K15" s="388"/>
      <c r="P15" s="412"/>
      <c r="Q15" s="412"/>
    </row>
    <row r="16" spans="1:16" ht="10.5" customHeight="1">
      <c r="A16" s="413" t="s">
        <v>323</v>
      </c>
      <c r="B16" s="387" t="s">
        <v>324</v>
      </c>
      <c r="C16" s="413"/>
      <c r="D16" s="414"/>
      <c r="E16" s="418"/>
      <c r="F16" s="400"/>
      <c r="G16" s="385"/>
      <c r="H16" s="385"/>
      <c r="I16" s="385"/>
      <c r="J16" s="385"/>
      <c r="K16" s="388"/>
      <c r="N16" s="383"/>
      <c r="O16" s="383"/>
      <c r="P16" s="412"/>
    </row>
    <row r="17" spans="1:11" ht="10.5" customHeight="1">
      <c r="A17" s="400"/>
      <c r="B17" s="387" t="s">
        <v>325</v>
      </c>
      <c r="C17" s="400"/>
      <c r="D17" s="385"/>
      <c r="E17" s="388"/>
      <c r="F17" s="400"/>
      <c r="G17" s="385"/>
      <c r="H17" s="385"/>
      <c r="I17" s="385"/>
      <c r="J17" s="385"/>
      <c r="K17" s="388"/>
    </row>
    <row r="18" spans="1:17" ht="10.5" customHeight="1">
      <c r="A18" s="400"/>
      <c r="B18" s="387" t="s">
        <v>319</v>
      </c>
      <c r="C18" s="413">
        <v>140</v>
      </c>
      <c r="D18" s="414">
        <f>C18/total</f>
        <v>0.21705426356589147</v>
      </c>
      <c r="E18" s="415">
        <f>C18/(total-q28bn)</f>
        <v>0.2177293934681182</v>
      </c>
      <c r="F18" s="400"/>
      <c r="G18" s="385"/>
      <c r="H18" s="385"/>
      <c r="I18" s="385"/>
      <c r="J18" s="385"/>
      <c r="K18" s="388"/>
      <c r="P18" s="412"/>
      <c r="Q18" s="412"/>
    </row>
    <row r="19" spans="1:17" ht="10.5" customHeight="1">
      <c r="A19" s="400"/>
      <c r="B19" s="387" t="s">
        <v>320</v>
      </c>
      <c r="C19" s="413">
        <v>310</v>
      </c>
      <c r="D19" s="414">
        <f>C19/total</f>
        <v>0.4806201550387597</v>
      </c>
      <c r="E19" s="415">
        <f>C19/(total-q28bn)</f>
        <v>0.4821150855365474</v>
      </c>
      <c r="F19" s="400"/>
      <c r="G19" s="385"/>
      <c r="H19" s="385"/>
      <c r="I19" s="385"/>
      <c r="J19" s="385"/>
      <c r="K19" s="388"/>
      <c r="P19" s="412"/>
      <c r="Q19" s="412"/>
    </row>
    <row r="20" spans="1:17" ht="10.5" customHeight="1">
      <c r="A20" s="400"/>
      <c r="B20" s="387" t="s">
        <v>321</v>
      </c>
      <c r="C20" s="413">
        <v>162</v>
      </c>
      <c r="D20" s="414">
        <f>C20/total</f>
        <v>0.25116279069767444</v>
      </c>
      <c r="E20" s="415">
        <f>C20/(total-q28bn)</f>
        <v>0.25194401244167963</v>
      </c>
      <c r="F20" s="400"/>
      <c r="G20" s="385"/>
      <c r="H20" s="385"/>
      <c r="I20" s="385"/>
      <c r="J20" s="385"/>
      <c r="K20" s="388"/>
      <c r="P20" s="412"/>
      <c r="Q20" s="412"/>
    </row>
    <row r="21" spans="1:17" ht="10.5" customHeight="1">
      <c r="A21" s="400"/>
      <c r="B21" s="387" t="s">
        <v>322</v>
      </c>
      <c r="C21" s="413">
        <v>31</v>
      </c>
      <c r="D21" s="414">
        <f>C21/total</f>
        <v>0.04806201550387597</v>
      </c>
      <c r="E21" s="415">
        <f>C21/(total-q28bn)</f>
        <v>0.04821150855365474</v>
      </c>
      <c r="F21" s="400"/>
      <c r="G21" s="385"/>
      <c r="H21" s="385"/>
      <c r="I21" s="385"/>
      <c r="J21" s="385"/>
      <c r="K21" s="388"/>
      <c r="P21" s="412"/>
      <c r="Q21" s="412"/>
    </row>
    <row r="22" spans="1:17" ht="10.5" customHeight="1">
      <c r="A22" s="403"/>
      <c r="B22" s="392" t="s">
        <v>160</v>
      </c>
      <c r="C22" s="416">
        <v>2</v>
      </c>
      <c r="D22" s="417">
        <f>C22/total</f>
        <v>0.0031007751937984496</v>
      </c>
      <c r="E22" s="406" t="s">
        <v>19</v>
      </c>
      <c r="F22" s="400"/>
      <c r="G22" s="385"/>
      <c r="H22" s="385"/>
      <c r="I22" s="385"/>
      <c r="J22" s="385"/>
      <c r="K22" s="388"/>
      <c r="P22" s="412"/>
      <c r="Q22" s="398"/>
    </row>
    <row r="23" spans="1:16" ht="10.5" customHeight="1">
      <c r="A23" s="413" t="s">
        <v>326</v>
      </c>
      <c r="B23" s="387" t="s">
        <v>324</v>
      </c>
      <c r="C23" s="413"/>
      <c r="D23" s="414"/>
      <c r="E23" s="418"/>
      <c r="F23" s="400"/>
      <c r="G23" s="385"/>
      <c r="H23" s="385"/>
      <c r="I23" s="385"/>
      <c r="J23" s="385"/>
      <c r="K23" s="388"/>
      <c r="N23" s="383"/>
      <c r="O23" s="383"/>
      <c r="P23" s="412"/>
    </row>
    <row r="24" spans="1:11" ht="10.5" customHeight="1">
      <c r="A24" s="400"/>
      <c r="B24" s="387" t="s">
        <v>327</v>
      </c>
      <c r="C24" s="400"/>
      <c r="D24" s="385"/>
      <c r="E24" s="388"/>
      <c r="F24" s="400"/>
      <c r="G24" s="385"/>
      <c r="H24" s="385"/>
      <c r="I24" s="385"/>
      <c r="J24" s="385"/>
      <c r="K24" s="388"/>
    </row>
    <row r="25" spans="1:17" ht="10.5" customHeight="1">
      <c r="A25" s="400"/>
      <c r="B25" s="387" t="s">
        <v>319</v>
      </c>
      <c r="C25" s="413">
        <v>174</v>
      </c>
      <c r="D25" s="414">
        <f>C25/total</f>
        <v>0.26976744186046514</v>
      </c>
      <c r="E25" s="415">
        <f>C25/(total-q28cn)</f>
        <v>0.27102803738317754</v>
      </c>
      <c r="F25" s="400"/>
      <c r="G25" s="385"/>
      <c r="H25" s="385"/>
      <c r="I25" s="385"/>
      <c r="J25" s="385"/>
      <c r="K25" s="388"/>
      <c r="P25" s="412"/>
      <c r="Q25" s="412"/>
    </row>
    <row r="26" spans="1:17" ht="10.5" customHeight="1">
      <c r="A26" s="400"/>
      <c r="B26" s="387" t="s">
        <v>320</v>
      </c>
      <c r="C26" s="413">
        <v>341</v>
      </c>
      <c r="D26" s="414">
        <f>C26/total</f>
        <v>0.5286821705426357</v>
      </c>
      <c r="E26" s="415">
        <f>C26/(total-q28cn)</f>
        <v>0.5311526479750779</v>
      </c>
      <c r="F26" s="400"/>
      <c r="G26" s="385"/>
      <c r="H26" s="385"/>
      <c r="I26" s="385"/>
      <c r="J26" s="385"/>
      <c r="K26" s="388"/>
      <c r="P26" s="412"/>
      <c r="Q26" s="412"/>
    </row>
    <row r="27" spans="1:17" ht="10.5" customHeight="1">
      <c r="A27" s="400"/>
      <c r="B27" s="387" t="s">
        <v>321</v>
      </c>
      <c r="C27" s="413">
        <v>107</v>
      </c>
      <c r="D27" s="414">
        <f>C27/total</f>
        <v>0.16589147286821707</v>
      </c>
      <c r="E27" s="415">
        <f>C27/(total-q28cn)</f>
        <v>0.16666666666666666</v>
      </c>
      <c r="F27" s="400"/>
      <c r="G27" s="385"/>
      <c r="H27" s="385"/>
      <c r="I27" s="385"/>
      <c r="J27" s="385"/>
      <c r="K27" s="388"/>
      <c r="P27" s="412"/>
      <c r="Q27" s="412"/>
    </row>
    <row r="28" spans="1:17" ht="10.5" customHeight="1">
      <c r="A28" s="400"/>
      <c r="B28" s="387" t="s">
        <v>322</v>
      </c>
      <c r="C28" s="413">
        <v>20</v>
      </c>
      <c r="D28" s="414">
        <f>C28/total</f>
        <v>0.031007751937984496</v>
      </c>
      <c r="E28" s="415">
        <f>C28/(total-q28cn)</f>
        <v>0.03115264797507788</v>
      </c>
      <c r="F28" s="400"/>
      <c r="G28" s="385"/>
      <c r="H28" s="385"/>
      <c r="I28" s="385"/>
      <c r="J28" s="385"/>
      <c r="K28" s="388"/>
      <c r="P28" s="412"/>
      <c r="Q28" s="412"/>
    </row>
    <row r="29" spans="1:17" ht="10.5" customHeight="1">
      <c r="A29" s="403"/>
      <c r="B29" s="392" t="s">
        <v>160</v>
      </c>
      <c r="C29" s="416">
        <v>3</v>
      </c>
      <c r="D29" s="417">
        <f>C29/total</f>
        <v>0.004651162790697674</v>
      </c>
      <c r="E29" s="406" t="s">
        <v>19</v>
      </c>
      <c r="F29" s="400"/>
      <c r="G29" s="385"/>
      <c r="H29" s="385"/>
      <c r="I29" s="385"/>
      <c r="J29" s="385"/>
      <c r="K29" s="388"/>
      <c r="P29" s="412"/>
      <c r="Q29" s="398"/>
    </row>
    <row r="30" spans="1:16" ht="10.5" customHeight="1">
      <c r="A30" s="419">
        <v>24</v>
      </c>
      <c r="B30" s="387" t="s">
        <v>328</v>
      </c>
      <c r="C30" s="413"/>
      <c r="D30" s="414"/>
      <c r="E30" s="418"/>
      <c r="F30" s="400"/>
      <c r="G30" s="385"/>
      <c r="H30" s="385"/>
      <c r="I30" s="385"/>
      <c r="J30" s="385"/>
      <c r="K30" s="388"/>
      <c r="N30" s="383"/>
      <c r="O30" s="383"/>
      <c r="P30" s="412"/>
    </row>
    <row r="31" spans="1:17" ht="10.5" customHeight="1">
      <c r="A31" s="400"/>
      <c r="B31" s="387" t="s">
        <v>319</v>
      </c>
      <c r="C31" s="413">
        <v>227</v>
      </c>
      <c r="D31" s="414">
        <f>C31/total</f>
        <v>0.351937984496124</v>
      </c>
      <c r="E31" s="415">
        <f>C31/(total-q29n)</f>
        <v>0.3546875</v>
      </c>
      <c r="F31" s="400"/>
      <c r="G31" s="385"/>
      <c r="H31" s="385"/>
      <c r="I31" s="385"/>
      <c r="J31" s="385"/>
      <c r="K31" s="388"/>
      <c r="P31" s="412"/>
      <c r="Q31" s="412"/>
    </row>
    <row r="32" spans="1:17" ht="10.5" customHeight="1">
      <c r="A32" s="400"/>
      <c r="B32" s="387" t="s">
        <v>320</v>
      </c>
      <c r="C32" s="413">
        <v>330</v>
      </c>
      <c r="D32" s="414">
        <f>C32/total</f>
        <v>0.5116279069767442</v>
      </c>
      <c r="E32" s="415">
        <f>C32/(total-q29n)</f>
        <v>0.515625</v>
      </c>
      <c r="F32" s="400"/>
      <c r="G32" s="385"/>
      <c r="H32" s="385"/>
      <c r="I32" s="385"/>
      <c r="J32" s="385"/>
      <c r="K32" s="388"/>
      <c r="P32" s="412"/>
      <c r="Q32" s="412"/>
    </row>
    <row r="33" spans="1:17" ht="10.5" customHeight="1">
      <c r="A33" s="400"/>
      <c r="B33" s="387" t="s">
        <v>321</v>
      </c>
      <c r="C33" s="413">
        <v>70</v>
      </c>
      <c r="D33" s="414">
        <f>C33/total</f>
        <v>0.10852713178294573</v>
      </c>
      <c r="E33" s="415">
        <f>C33/(total-q29n)</f>
        <v>0.109375</v>
      </c>
      <c r="F33" s="400"/>
      <c r="G33" s="385"/>
      <c r="H33" s="385"/>
      <c r="I33" s="385"/>
      <c r="J33" s="385"/>
      <c r="K33" s="388"/>
      <c r="P33" s="412"/>
      <c r="Q33" s="412"/>
    </row>
    <row r="34" spans="1:17" ht="10.5" customHeight="1">
      <c r="A34" s="400"/>
      <c r="B34" s="387" t="s">
        <v>322</v>
      </c>
      <c r="C34" s="413">
        <v>13</v>
      </c>
      <c r="D34" s="414">
        <f>C34/total</f>
        <v>0.020155038759689922</v>
      </c>
      <c r="E34" s="415">
        <f>C34/(total-q29n)</f>
        <v>0.0203125</v>
      </c>
      <c r="F34" s="400"/>
      <c r="G34" s="385"/>
      <c r="H34" s="385"/>
      <c r="I34" s="385"/>
      <c r="J34" s="385"/>
      <c r="K34" s="388"/>
      <c r="P34" s="412"/>
      <c r="Q34" s="412"/>
    </row>
    <row r="35" spans="1:17" ht="10.5" customHeight="1">
      <c r="A35" s="403"/>
      <c r="B35" s="392" t="s">
        <v>160</v>
      </c>
      <c r="C35" s="416">
        <v>5</v>
      </c>
      <c r="D35" s="417">
        <f>C35/total</f>
        <v>0.007751937984496124</v>
      </c>
      <c r="E35" s="406" t="s">
        <v>19</v>
      </c>
      <c r="F35" s="400"/>
      <c r="G35" s="385"/>
      <c r="H35" s="385"/>
      <c r="I35" s="385"/>
      <c r="J35" s="385"/>
      <c r="K35" s="388"/>
      <c r="P35" s="412"/>
      <c r="Q35" s="398"/>
    </row>
    <row r="36" spans="1:16" ht="10.5" customHeight="1">
      <c r="A36" s="419">
        <v>25</v>
      </c>
      <c r="B36" s="387" t="s">
        <v>329</v>
      </c>
      <c r="C36" s="413"/>
      <c r="D36" s="414"/>
      <c r="E36" s="418"/>
      <c r="F36" s="400"/>
      <c r="G36" s="385"/>
      <c r="H36" s="385"/>
      <c r="I36" s="385"/>
      <c r="J36" s="385"/>
      <c r="K36" s="388"/>
      <c r="N36" s="383"/>
      <c r="O36" s="383"/>
      <c r="P36" s="412"/>
    </row>
    <row r="37" spans="1:17" ht="10.5" customHeight="1">
      <c r="A37" s="400"/>
      <c r="B37" s="387" t="s">
        <v>330</v>
      </c>
      <c r="C37" s="413">
        <v>22</v>
      </c>
      <c r="D37" s="414">
        <f>C37/total</f>
        <v>0.034108527131782945</v>
      </c>
      <c r="E37" s="415">
        <f>C37/(total-q30n)</f>
        <v>0.03426791277258567</v>
      </c>
      <c r="F37" s="400"/>
      <c r="G37" s="385"/>
      <c r="H37" s="385"/>
      <c r="I37" s="385"/>
      <c r="J37" s="385"/>
      <c r="K37" s="388"/>
      <c r="P37" s="412"/>
      <c r="Q37" s="412"/>
    </row>
    <row r="38" spans="1:17" ht="10.5" customHeight="1">
      <c r="A38" s="400"/>
      <c r="B38" s="387" t="s">
        <v>331</v>
      </c>
      <c r="C38" s="413">
        <v>582</v>
      </c>
      <c r="D38" s="414">
        <f>C38/total</f>
        <v>0.9023255813953488</v>
      </c>
      <c r="E38" s="415">
        <f>C38/(total-q30n)</f>
        <v>0.9065420560747663</v>
      </c>
      <c r="F38" s="400"/>
      <c r="G38" s="385"/>
      <c r="H38" s="385"/>
      <c r="I38" s="385"/>
      <c r="J38" s="385"/>
      <c r="K38" s="388"/>
      <c r="P38" s="412"/>
      <c r="Q38" s="412"/>
    </row>
    <row r="39" spans="1:17" ht="10.5" customHeight="1">
      <c r="A39" s="400"/>
      <c r="B39" s="387" t="s">
        <v>332</v>
      </c>
      <c r="C39" s="413">
        <v>38</v>
      </c>
      <c r="D39" s="414">
        <f>C39/total</f>
        <v>0.05891472868217054</v>
      </c>
      <c r="E39" s="415">
        <f>C39/(total-q30n)</f>
        <v>0.059190031152647975</v>
      </c>
      <c r="F39" s="400"/>
      <c r="G39" s="385"/>
      <c r="H39" s="385"/>
      <c r="I39" s="385"/>
      <c r="J39" s="385"/>
      <c r="K39" s="388"/>
      <c r="P39" s="412"/>
      <c r="Q39" s="412"/>
    </row>
    <row r="40" spans="1:17" ht="10.5" customHeight="1">
      <c r="A40" s="403"/>
      <c r="B40" s="392" t="s">
        <v>160</v>
      </c>
      <c r="C40" s="416">
        <v>3</v>
      </c>
      <c r="D40" s="417">
        <f>C40/total</f>
        <v>0.004651162790697674</v>
      </c>
      <c r="E40" s="406" t="s">
        <v>19</v>
      </c>
      <c r="F40" s="400"/>
      <c r="G40" s="385"/>
      <c r="H40" s="385"/>
      <c r="I40" s="385"/>
      <c r="J40" s="385"/>
      <c r="K40" s="388"/>
      <c r="Q40" s="398"/>
    </row>
    <row r="41" spans="1:17" ht="24" customHeight="1">
      <c r="A41" s="394"/>
      <c r="B41" s="387"/>
      <c r="C41" s="387"/>
      <c r="D41" s="414"/>
      <c r="E41" s="420"/>
      <c r="F41" s="385"/>
      <c r="G41" s="385"/>
      <c r="H41" s="385"/>
      <c r="I41" s="385"/>
      <c r="J41" s="385"/>
      <c r="K41" s="388"/>
      <c r="Q41" s="398"/>
    </row>
    <row r="42" spans="1:17" ht="24" customHeight="1">
      <c r="A42" s="400"/>
      <c r="B42" s="387"/>
      <c r="C42" s="387"/>
      <c r="D42" s="414"/>
      <c r="E42" s="401"/>
      <c r="F42" s="385"/>
      <c r="G42" s="385"/>
      <c r="H42" s="385"/>
      <c r="I42" s="385"/>
      <c r="J42" s="385"/>
      <c r="K42" s="388"/>
      <c r="Q42" s="398"/>
    </row>
    <row r="43" spans="1:17" ht="24" customHeight="1">
      <c r="A43" s="400"/>
      <c r="B43" s="387"/>
      <c r="C43" s="387"/>
      <c r="D43" s="414"/>
      <c r="E43" s="401"/>
      <c r="F43" s="385"/>
      <c r="G43" s="385"/>
      <c r="H43" s="385"/>
      <c r="I43" s="385"/>
      <c r="J43" s="385"/>
      <c r="K43" s="388"/>
      <c r="Q43" s="398"/>
    </row>
    <row r="44" spans="1:17" ht="24" customHeight="1">
      <c r="A44" s="403"/>
      <c r="B44" s="392"/>
      <c r="C44" s="392"/>
      <c r="D44" s="417"/>
      <c r="E44" s="405"/>
      <c r="F44" s="391"/>
      <c r="G44" s="391"/>
      <c r="H44" s="391"/>
      <c r="I44" s="391"/>
      <c r="J44" s="391"/>
      <c r="K44" s="421"/>
      <c r="Q44" s="398"/>
    </row>
    <row r="45" spans="1:11" ht="12.75">
      <c r="A45" s="376" t="s">
        <v>333</v>
      </c>
      <c r="B45" s="379"/>
      <c r="C45" s="379"/>
      <c r="D45" s="422"/>
      <c r="E45" s="422"/>
      <c r="F45" s="380"/>
      <c r="G45" s="423"/>
      <c r="H45" s="423"/>
      <c r="I45" s="380"/>
      <c r="J45" s="380"/>
      <c r="K45" s="381" t="s">
        <v>334</v>
      </c>
    </row>
    <row r="46" spans="1:11" ht="12.75">
      <c r="A46" s="384" t="s">
        <v>313</v>
      </c>
      <c r="B46" s="386"/>
      <c r="C46" s="386"/>
      <c r="D46" s="386"/>
      <c r="E46" s="386"/>
      <c r="F46" s="387"/>
      <c r="G46" s="387"/>
      <c r="H46" s="387"/>
      <c r="I46" s="387"/>
      <c r="J46" s="387"/>
      <c r="K46" s="388"/>
    </row>
    <row r="47" spans="1:11" ht="12.75">
      <c r="A47" s="6" t="s">
        <v>335</v>
      </c>
      <c r="B47" s="8"/>
      <c r="C47" s="386"/>
      <c r="D47" s="386"/>
      <c r="E47" s="386"/>
      <c r="F47" s="387"/>
      <c r="G47" s="387"/>
      <c r="H47" s="387"/>
      <c r="I47" s="387"/>
      <c r="J47" s="387"/>
      <c r="K47" s="388"/>
    </row>
    <row r="48" spans="1:11" ht="12.75">
      <c r="A48" s="389" t="s">
        <v>315</v>
      </c>
      <c r="B48" s="390"/>
      <c r="C48" s="391"/>
      <c r="D48" s="391"/>
      <c r="E48" s="391"/>
      <c r="F48" s="391"/>
      <c r="G48" s="391"/>
      <c r="H48" s="392"/>
      <c r="I48" s="392"/>
      <c r="J48" s="392"/>
      <c r="K48" s="393"/>
    </row>
    <row r="49" spans="1:11" ht="12.75">
      <c r="A49" s="400"/>
      <c r="B49" s="424"/>
      <c r="C49" s="425" t="s">
        <v>153</v>
      </c>
      <c r="D49" s="426"/>
      <c r="E49" s="427"/>
      <c r="F49" s="425" t="s">
        <v>154</v>
      </c>
      <c r="G49" s="428"/>
      <c r="H49" s="429"/>
      <c r="I49" s="394"/>
      <c r="J49" s="377"/>
      <c r="K49" s="430"/>
    </row>
    <row r="50" spans="1:11" ht="11.25">
      <c r="A50" s="400"/>
      <c r="B50" s="424"/>
      <c r="C50" s="431"/>
      <c r="D50" s="432" t="s">
        <v>5</v>
      </c>
      <c r="E50" s="432" t="s">
        <v>5</v>
      </c>
      <c r="F50" s="431"/>
      <c r="G50" s="432" t="s">
        <v>5</v>
      </c>
      <c r="H50" s="433" t="s">
        <v>5</v>
      </c>
      <c r="I50" s="400"/>
      <c r="J50" s="385"/>
      <c r="K50" s="388"/>
    </row>
    <row r="51" spans="1:11" ht="11.25">
      <c r="A51" s="399" t="s">
        <v>155</v>
      </c>
      <c r="B51" s="424"/>
      <c r="C51" s="434"/>
      <c r="D51" s="435" t="s">
        <v>7</v>
      </c>
      <c r="E51" s="435" t="s">
        <v>8</v>
      </c>
      <c r="F51" s="434"/>
      <c r="G51" s="435" t="s">
        <v>7</v>
      </c>
      <c r="H51" s="436" t="s">
        <v>8</v>
      </c>
      <c r="I51" s="400"/>
      <c r="J51" s="385"/>
      <c r="K51" s="388"/>
    </row>
    <row r="52" spans="1:11" ht="11.25">
      <c r="A52" s="403"/>
      <c r="B52" s="437"/>
      <c r="C52" s="438" t="s">
        <v>9</v>
      </c>
      <c r="D52" s="439" t="s">
        <v>10</v>
      </c>
      <c r="E52" s="439" t="s">
        <v>10</v>
      </c>
      <c r="F52" s="438" t="s">
        <v>9</v>
      </c>
      <c r="G52" s="439" t="s">
        <v>10</v>
      </c>
      <c r="H52" s="440" t="s">
        <v>10</v>
      </c>
      <c r="I52" s="400"/>
      <c r="J52" s="385"/>
      <c r="K52" s="388"/>
    </row>
    <row r="53" spans="1:11" ht="12.75" customHeight="1">
      <c r="A53" s="395" t="s">
        <v>11</v>
      </c>
      <c r="B53" s="380"/>
      <c r="C53" s="395">
        <v>211</v>
      </c>
      <c r="D53" s="423">
        <v>1</v>
      </c>
      <c r="E53" s="441"/>
      <c r="F53" s="380">
        <v>434</v>
      </c>
      <c r="G53" s="423">
        <v>1</v>
      </c>
      <c r="H53" s="430"/>
      <c r="I53" s="400"/>
      <c r="J53" s="385"/>
      <c r="K53" s="388"/>
    </row>
    <row r="54" spans="1:11" ht="2.25" customHeight="1">
      <c r="A54" s="416"/>
      <c r="B54" s="392"/>
      <c r="C54" s="403"/>
      <c r="D54" s="417"/>
      <c r="E54" s="421"/>
      <c r="F54" s="391"/>
      <c r="G54" s="391"/>
      <c r="H54" s="421"/>
      <c r="I54" s="400"/>
      <c r="J54" s="385"/>
      <c r="K54" s="388"/>
    </row>
    <row r="55" spans="1:11" ht="11.25">
      <c r="A55" s="413" t="s">
        <v>316</v>
      </c>
      <c r="B55" s="387" t="s">
        <v>324</v>
      </c>
      <c r="C55" s="413"/>
      <c r="D55" s="414"/>
      <c r="E55" s="388"/>
      <c r="F55" s="385"/>
      <c r="G55" s="385"/>
      <c r="H55" s="388"/>
      <c r="I55" s="400"/>
      <c r="J55" s="385"/>
      <c r="K55" s="388"/>
    </row>
    <row r="56" spans="1:11" ht="11.25">
      <c r="A56" s="400"/>
      <c r="B56" s="387" t="s">
        <v>318</v>
      </c>
      <c r="C56" s="400"/>
      <c r="D56" s="385"/>
      <c r="E56" s="388"/>
      <c r="F56" s="385"/>
      <c r="G56" s="414"/>
      <c r="H56" s="415"/>
      <c r="I56" s="400"/>
      <c r="J56" s="385"/>
      <c r="K56" s="388"/>
    </row>
    <row r="57" spans="1:11" ht="11.25">
      <c r="A57" s="400"/>
      <c r="B57" s="387" t="s">
        <v>319</v>
      </c>
      <c r="C57" s="400">
        <v>58</v>
      </c>
      <c r="D57" s="414">
        <f>C57/totalm</f>
        <v>0.27488151658767773</v>
      </c>
      <c r="E57" s="415">
        <f>C57/(totalm-q28anm)</f>
        <v>0.27751196172248804</v>
      </c>
      <c r="F57" s="385">
        <v>143</v>
      </c>
      <c r="G57" s="414">
        <f>F57/totalf</f>
        <v>0.3294930875576037</v>
      </c>
      <c r="H57" s="415">
        <f>F57/(totalf-q28anf)</f>
        <v>0.3294930875576037</v>
      </c>
      <c r="I57" s="400"/>
      <c r="J57" s="385"/>
      <c r="K57" s="388"/>
    </row>
    <row r="58" spans="1:11" ht="11.25">
      <c r="A58" s="400"/>
      <c r="B58" s="387" t="s">
        <v>320</v>
      </c>
      <c r="C58" s="400">
        <v>108</v>
      </c>
      <c r="D58" s="414">
        <f>C58/totalm</f>
        <v>0.5118483412322274</v>
      </c>
      <c r="E58" s="415">
        <f>C58/(totalm-q28anm)</f>
        <v>0.5167464114832536</v>
      </c>
      <c r="F58" s="385">
        <v>207</v>
      </c>
      <c r="G58" s="414">
        <f>F58/totalf</f>
        <v>0.4769585253456221</v>
      </c>
      <c r="H58" s="415">
        <f>F58/(totalf-q28anf)</f>
        <v>0.4769585253456221</v>
      </c>
      <c r="I58" s="400"/>
      <c r="J58" s="385"/>
      <c r="K58" s="388"/>
    </row>
    <row r="59" spans="1:11" ht="11.25">
      <c r="A59" s="400"/>
      <c r="B59" s="387" t="s">
        <v>321</v>
      </c>
      <c r="C59" s="400">
        <v>38</v>
      </c>
      <c r="D59" s="414">
        <f>C59/totalm</f>
        <v>0.18009478672985782</v>
      </c>
      <c r="E59" s="415">
        <f>C59/(totalm-q28anm)</f>
        <v>0.18181818181818182</v>
      </c>
      <c r="F59" s="385">
        <v>68</v>
      </c>
      <c r="G59" s="414">
        <f>F59/totalf</f>
        <v>0.15668202764976957</v>
      </c>
      <c r="H59" s="415">
        <f>F59/(totalf-q28anf)</f>
        <v>0.15668202764976957</v>
      </c>
      <c r="I59" s="400"/>
      <c r="J59" s="385"/>
      <c r="K59" s="388"/>
    </row>
    <row r="60" spans="1:11" ht="11.25">
      <c r="A60" s="400"/>
      <c r="B60" s="387" t="s">
        <v>322</v>
      </c>
      <c r="C60" s="400">
        <v>5</v>
      </c>
      <c r="D60" s="414">
        <f>C60/totalm</f>
        <v>0.023696682464454975</v>
      </c>
      <c r="E60" s="415">
        <f>C60/(totalm-q28anm)</f>
        <v>0.023923444976076555</v>
      </c>
      <c r="F60" s="385">
        <v>16</v>
      </c>
      <c r="G60" s="414">
        <f>F60/totalf</f>
        <v>0.03686635944700461</v>
      </c>
      <c r="H60" s="415">
        <f>F60/(totalf-q28anf)</f>
        <v>0.03686635944700461</v>
      </c>
      <c r="I60" s="400"/>
      <c r="J60" s="385"/>
      <c r="K60" s="388"/>
    </row>
    <row r="61" spans="1:11" ht="11.25">
      <c r="A61" s="403"/>
      <c r="B61" s="392" t="s">
        <v>160</v>
      </c>
      <c r="C61" s="403">
        <v>2</v>
      </c>
      <c r="D61" s="417">
        <f>C61/totalm</f>
        <v>0.009478672985781991</v>
      </c>
      <c r="E61" s="406" t="s">
        <v>19</v>
      </c>
      <c r="F61" s="391">
        <v>0</v>
      </c>
      <c r="G61" s="417">
        <f>F61/totalf</f>
        <v>0</v>
      </c>
      <c r="H61" s="406" t="s">
        <v>19</v>
      </c>
      <c r="I61" s="400"/>
      <c r="J61" s="385"/>
      <c r="K61" s="388"/>
    </row>
    <row r="62" spans="1:11" ht="11.25">
      <c r="A62" s="395" t="s">
        <v>323</v>
      </c>
      <c r="B62" s="380" t="s">
        <v>324</v>
      </c>
      <c r="C62" s="395"/>
      <c r="D62" s="442"/>
      <c r="E62" s="443"/>
      <c r="F62" s="377"/>
      <c r="G62" s="442"/>
      <c r="H62" s="443"/>
      <c r="I62" s="400"/>
      <c r="J62" s="385"/>
      <c r="K62" s="388"/>
    </row>
    <row r="63" spans="1:11" ht="11.25">
      <c r="A63" s="400"/>
      <c r="B63" s="387" t="s">
        <v>325</v>
      </c>
      <c r="C63" s="400"/>
      <c r="D63" s="385"/>
      <c r="E63" s="388"/>
      <c r="F63" s="385"/>
      <c r="G63" s="385"/>
      <c r="H63" s="388"/>
      <c r="I63" s="400"/>
      <c r="J63" s="385"/>
      <c r="K63" s="388"/>
    </row>
    <row r="64" spans="1:11" ht="11.25">
      <c r="A64" s="400"/>
      <c r="B64" s="387" t="s">
        <v>319</v>
      </c>
      <c r="C64" s="400">
        <v>44</v>
      </c>
      <c r="D64" s="414">
        <f>C64/totalm</f>
        <v>0.20853080568720378</v>
      </c>
      <c r="E64" s="415">
        <f>C64/(totalm-q28bnm)</f>
        <v>0.21052631578947367</v>
      </c>
      <c r="F64" s="385">
        <v>96</v>
      </c>
      <c r="G64" s="414">
        <f>F64/totalf</f>
        <v>0.22119815668202766</v>
      </c>
      <c r="H64" s="415">
        <f>F64/(totalf-q28bnf)</f>
        <v>0.22119815668202766</v>
      </c>
      <c r="I64" s="400"/>
      <c r="J64" s="385"/>
      <c r="K64" s="388"/>
    </row>
    <row r="65" spans="1:11" ht="11.25">
      <c r="A65" s="400"/>
      <c r="B65" s="387" t="s">
        <v>320</v>
      </c>
      <c r="C65" s="400">
        <v>103</v>
      </c>
      <c r="D65" s="414">
        <f>C65/totalm</f>
        <v>0.4881516587677725</v>
      </c>
      <c r="E65" s="415">
        <f>C65/(totalm-q28bnm)</f>
        <v>0.49282296650717705</v>
      </c>
      <c r="F65" s="385">
        <v>207</v>
      </c>
      <c r="G65" s="414">
        <f>F65/totalf</f>
        <v>0.4769585253456221</v>
      </c>
      <c r="H65" s="415">
        <f>F65/(totalf-q28bnf)</f>
        <v>0.4769585253456221</v>
      </c>
      <c r="I65" s="400"/>
      <c r="J65" s="385"/>
      <c r="K65" s="388"/>
    </row>
    <row r="66" spans="1:11" ht="11.25">
      <c r="A66" s="400"/>
      <c r="B66" s="387" t="s">
        <v>321</v>
      </c>
      <c r="C66" s="400">
        <v>45</v>
      </c>
      <c r="D66" s="414">
        <f>C66/totalm</f>
        <v>0.2132701421800948</v>
      </c>
      <c r="E66" s="415">
        <f>C66/(totalm-q28bnm)</f>
        <v>0.215311004784689</v>
      </c>
      <c r="F66" s="385">
        <v>117</v>
      </c>
      <c r="G66" s="414">
        <f>F66/totalf</f>
        <v>0.2695852534562212</v>
      </c>
      <c r="H66" s="415">
        <f>F66/(totalf-q28bnf)</f>
        <v>0.2695852534562212</v>
      </c>
      <c r="I66" s="400"/>
      <c r="J66" s="385"/>
      <c r="K66" s="388"/>
    </row>
    <row r="67" spans="1:11" ht="11.25">
      <c r="A67" s="400"/>
      <c r="B67" s="387" t="s">
        <v>322</v>
      </c>
      <c r="C67" s="400">
        <v>17</v>
      </c>
      <c r="D67" s="414">
        <f>C67/totalm</f>
        <v>0.08056872037914692</v>
      </c>
      <c r="E67" s="415">
        <f>C67/(totalm-q28bnm)</f>
        <v>0.08133971291866028</v>
      </c>
      <c r="F67" s="385">
        <v>14</v>
      </c>
      <c r="G67" s="414">
        <f>F67/totalf</f>
        <v>0.03225806451612903</v>
      </c>
      <c r="H67" s="415">
        <f>F67/(totalf-q28bnf)</f>
        <v>0.03225806451612903</v>
      </c>
      <c r="I67" s="400"/>
      <c r="J67" s="385"/>
      <c r="K67" s="388"/>
    </row>
    <row r="68" spans="1:11" ht="11.25">
      <c r="A68" s="403"/>
      <c r="B68" s="392" t="s">
        <v>160</v>
      </c>
      <c r="C68" s="403">
        <v>2</v>
      </c>
      <c r="D68" s="417">
        <f>C68/totalm</f>
        <v>0.009478672985781991</v>
      </c>
      <c r="E68" s="406" t="s">
        <v>19</v>
      </c>
      <c r="F68" s="391">
        <v>0</v>
      </c>
      <c r="G68" s="417">
        <f>F68/totalf</f>
        <v>0</v>
      </c>
      <c r="H68" s="406" t="s">
        <v>19</v>
      </c>
      <c r="I68" s="400"/>
      <c r="J68" s="385"/>
      <c r="K68" s="388"/>
    </row>
    <row r="69" spans="1:11" ht="11.25">
      <c r="A69" s="413" t="s">
        <v>326</v>
      </c>
      <c r="B69" s="387" t="s">
        <v>324</v>
      </c>
      <c r="C69" s="400"/>
      <c r="D69" s="414"/>
      <c r="E69" s="444"/>
      <c r="F69" s="385"/>
      <c r="G69" s="414"/>
      <c r="H69" s="444"/>
      <c r="I69" s="400"/>
      <c r="J69" s="385"/>
      <c r="K69" s="388"/>
    </row>
    <row r="70" spans="1:11" ht="11.25">
      <c r="A70" s="400"/>
      <c r="B70" s="387" t="s">
        <v>327</v>
      </c>
      <c r="C70" s="400"/>
      <c r="D70" s="385"/>
      <c r="E70" s="388"/>
      <c r="F70" s="385"/>
      <c r="G70" s="385"/>
      <c r="H70" s="388"/>
      <c r="I70" s="400"/>
      <c r="J70" s="385"/>
      <c r="K70" s="388"/>
    </row>
    <row r="71" spans="1:11" ht="11.25">
      <c r="A71" s="400"/>
      <c r="B71" s="387" t="s">
        <v>319</v>
      </c>
      <c r="C71" s="400">
        <v>46</v>
      </c>
      <c r="D71" s="414">
        <f>C71/totalm</f>
        <v>0.21800947867298578</v>
      </c>
      <c r="E71" s="415">
        <f>C71/(totalm-q28cnm)</f>
        <v>0.22009569377990432</v>
      </c>
      <c r="F71" s="385">
        <v>128</v>
      </c>
      <c r="G71" s="414">
        <f>F71/totalf</f>
        <v>0.29493087557603687</v>
      </c>
      <c r="H71" s="415">
        <f>F71/(totalf-q28cnf)</f>
        <v>0.2956120092378753</v>
      </c>
      <c r="I71" s="400"/>
      <c r="J71" s="385"/>
      <c r="K71" s="388"/>
    </row>
    <row r="72" spans="1:11" ht="11.25">
      <c r="A72" s="400"/>
      <c r="B72" s="387" t="s">
        <v>320</v>
      </c>
      <c r="C72" s="400">
        <v>119</v>
      </c>
      <c r="D72" s="414">
        <f>C72/totalm</f>
        <v>0.5639810426540285</v>
      </c>
      <c r="E72" s="415">
        <f>C72/(totalm-q28cnm)</f>
        <v>0.569377990430622</v>
      </c>
      <c r="F72" s="385">
        <v>222</v>
      </c>
      <c r="G72" s="414">
        <f>F72/totalf</f>
        <v>0.511520737327189</v>
      </c>
      <c r="H72" s="415">
        <f>F72/(totalf-q28cnf)</f>
        <v>0.5127020785219399</v>
      </c>
      <c r="I72" s="400"/>
      <c r="J72" s="385"/>
      <c r="K72" s="388"/>
    </row>
    <row r="73" spans="1:11" ht="11.25">
      <c r="A73" s="400"/>
      <c r="B73" s="387" t="s">
        <v>321</v>
      </c>
      <c r="C73" s="400">
        <v>35</v>
      </c>
      <c r="D73" s="414">
        <f>C73/totalm</f>
        <v>0.16587677725118483</v>
      </c>
      <c r="E73" s="415">
        <f>C73/(totalm-q28cnm)</f>
        <v>0.1674641148325359</v>
      </c>
      <c r="F73" s="385">
        <v>72</v>
      </c>
      <c r="G73" s="414">
        <f>F73/totalf</f>
        <v>0.16589861751152074</v>
      </c>
      <c r="H73" s="415">
        <f>F73/(totalf-q28cnf)</f>
        <v>0.16628175519630484</v>
      </c>
      <c r="I73" s="400"/>
      <c r="J73" s="385"/>
      <c r="K73" s="388"/>
    </row>
    <row r="74" spans="1:11" ht="11.25">
      <c r="A74" s="400"/>
      <c r="B74" s="387" t="s">
        <v>322</v>
      </c>
      <c r="C74" s="400">
        <v>9</v>
      </c>
      <c r="D74" s="414">
        <f>C74/totalm</f>
        <v>0.04265402843601896</v>
      </c>
      <c r="E74" s="415">
        <f>C74/(totalm-q28cnm)</f>
        <v>0.0430622009569378</v>
      </c>
      <c r="F74" s="385">
        <v>11</v>
      </c>
      <c r="G74" s="414">
        <f>F74/totalf</f>
        <v>0.02534562211981567</v>
      </c>
      <c r="H74" s="415">
        <f>F74/(totalf-q28cnf)</f>
        <v>0.025404157043879907</v>
      </c>
      <c r="I74" s="400"/>
      <c r="J74" s="385"/>
      <c r="K74" s="388"/>
    </row>
    <row r="75" spans="1:11" ht="11.25">
      <c r="A75" s="403"/>
      <c r="B75" s="392" t="s">
        <v>160</v>
      </c>
      <c r="C75" s="403">
        <v>2</v>
      </c>
      <c r="D75" s="417">
        <f>C75/totalm</f>
        <v>0.009478672985781991</v>
      </c>
      <c r="E75" s="406" t="s">
        <v>19</v>
      </c>
      <c r="F75" s="391">
        <v>1</v>
      </c>
      <c r="G75" s="417">
        <f>F75/totalf</f>
        <v>0.002304147465437788</v>
      </c>
      <c r="H75" s="406" t="s">
        <v>19</v>
      </c>
      <c r="I75" s="400"/>
      <c r="J75" s="385"/>
      <c r="K75" s="388"/>
    </row>
    <row r="76" spans="1:11" ht="11.25">
      <c r="A76" s="419">
        <v>24</v>
      </c>
      <c r="B76" s="387" t="s">
        <v>328</v>
      </c>
      <c r="C76" s="400"/>
      <c r="D76" s="414"/>
      <c r="E76" s="444"/>
      <c r="F76" s="385"/>
      <c r="G76" s="414"/>
      <c r="H76" s="444"/>
      <c r="I76" s="400"/>
      <c r="J76" s="385"/>
      <c r="K76" s="388"/>
    </row>
    <row r="77" spans="1:11" ht="11.25">
      <c r="A77" s="400"/>
      <c r="B77" s="387" t="s">
        <v>319</v>
      </c>
      <c r="C77" s="400">
        <v>62</v>
      </c>
      <c r="D77" s="414">
        <f>C77/totalm</f>
        <v>0.2938388625592417</v>
      </c>
      <c r="E77" s="415">
        <f>C77/(totalm-q29nm)</f>
        <v>0.2980769230769231</v>
      </c>
      <c r="F77" s="385">
        <v>165</v>
      </c>
      <c r="G77" s="414">
        <f>F77/totalf</f>
        <v>0.38018433179723504</v>
      </c>
      <c r="H77" s="415">
        <f>F77/(totalf-q29nf)</f>
        <v>0.3819444444444444</v>
      </c>
      <c r="I77" s="400"/>
      <c r="J77" s="385"/>
      <c r="K77" s="388"/>
    </row>
    <row r="78" spans="1:11" ht="11.25">
      <c r="A78" s="400"/>
      <c r="B78" s="387" t="s">
        <v>320</v>
      </c>
      <c r="C78" s="400">
        <v>114</v>
      </c>
      <c r="D78" s="414">
        <f>C78/totalm</f>
        <v>0.5402843601895735</v>
      </c>
      <c r="E78" s="415">
        <f>C78/(totalm-q29nm)</f>
        <v>0.5480769230769231</v>
      </c>
      <c r="F78" s="385">
        <v>216</v>
      </c>
      <c r="G78" s="414">
        <f>F78/totalf</f>
        <v>0.4976958525345622</v>
      </c>
      <c r="H78" s="415">
        <f>F78/(totalf-q29nf)</f>
        <v>0.5</v>
      </c>
      <c r="I78" s="400"/>
      <c r="J78" s="385"/>
      <c r="K78" s="388"/>
    </row>
    <row r="79" spans="1:11" ht="11.25">
      <c r="A79" s="400"/>
      <c r="B79" s="387" t="s">
        <v>321</v>
      </c>
      <c r="C79" s="400">
        <v>27</v>
      </c>
      <c r="D79" s="414">
        <f>C79/totalm</f>
        <v>0.12796208530805686</v>
      </c>
      <c r="E79" s="415">
        <f>C79/(totalm-q29nm)</f>
        <v>0.12980769230769232</v>
      </c>
      <c r="F79" s="385">
        <v>43</v>
      </c>
      <c r="G79" s="414">
        <f>F79/totalf</f>
        <v>0.09907834101382489</v>
      </c>
      <c r="H79" s="415">
        <f>F79/(totalf-q29nf)</f>
        <v>0.09953703703703703</v>
      </c>
      <c r="I79" s="400"/>
      <c r="J79" s="385"/>
      <c r="K79" s="388"/>
    </row>
    <row r="80" spans="1:11" ht="11.25">
      <c r="A80" s="400"/>
      <c r="B80" s="387" t="s">
        <v>322</v>
      </c>
      <c r="C80" s="400">
        <v>5</v>
      </c>
      <c r="D80" s="414">
        <f>C80/totalm</f>
        <v>0.023696682464454975</v>
      </c>
      <c r="E80" s="415">
        <f>C80/(totalm-q29nm)</f>
        <v>0.02403846153846154</v>
      </c>
      <c r="F80" s="385">
        <v>8</v>
      </c>
      <c r="G80" s="414">
        <f>F80/totalf</f>
        <v>0.018433179723502304</v>
      </c>
      <c r="H80" s="415">
        <f>F80/(totalf-q29nf)</f>
        <v>0.018518518518518517</v>
      </c>
      <c r="I80" s="400"/>
      <c r="J80" s="385"/>
      <c r="K80" s="388"/>
    </row>
    <row r="81" spans="1:11" ht="11.25">
      <c r="A81" s="403"/>
      <c r="B81" s="392" t="s">
        <v>160</v>
      </c>
      <c r="C81" s="403">
        <v>3</v>
      </c>
      <c r="D81" s="417">
        <f>C81/totalm</f>
        <v>0.014218009478672985</v>
      </c>
      <c r="E81" s="406" t="s">
        <v>19</v>
      </c>
      <c r="F81" s="391">
        <v>2</v>
      </c>
      <c r="G81" s="417">
        <f>F81/totalf</f>
        <v>0.004608294930875576</v>
      </c>
      <c r="H81" s="406" t="s">
        <v>19</v>
      </c>
      <c r="I81" s="400"/>
      <c r="J81" s="385"/>
      <c r="K81" s="388"/>
    </row>
    <row r="82" spans="1:11" ht="11.25">
      <c r="A82" s="419">
        <v>25</v>
      </c>
      <c r="B82" s="387" t="s">
        <v>329</v>
      </c>
      <c r="C82" s="400"/>
      <c r="D82" s="414"/>
      <c r="E82" s="415"/>
      <c r="F82" s="385"/>
      <c r="G82" s="414"/>
      <c r="H82" s="415"/>
      <c r="I82" s="400"/>
      <c r="J82" s="385"/>
      <c r="K82" s="388"/>
    </row>
    <row r="83" spans="1:11" ht="11.25">
      <c r="A83" s="400"/>
      <c r="B83" s="387" t="s">
        <v>330</v>
      </c>
      <c r="C83" s="400">
        <v>7</v>
      </c>
      <c r="D83" s="414">
        <f>C83/totalm</f>
        <v>0.03317535545023697</v>
      </c>
      <c r="E83" s="415">
        <f>C83/(totalm-q30nm)</f>
        <v>0.03349282296650718</v>
      </c>
      <c r="F83" s="385">
        <v>15</v>
      </c>
      <c r="G83" s="414">
        <f>F83/totalf</f>
        <v>0.03456221198156682</v>
      </c>
      <c r="H83" s="415">
        <f>F83/(totalf-q30nf)</f>
        <v>0.03464203233256351</v>
      </c>
      <c r="I83" s="400"/>
      <c r="J83" s="385"/>
      <c r="K83" s="388"/>
    </row>
    <row r="84" spans="1:11" ht="11.25">
      <c r="A84" s="400"/>
      <c r="B84" s="387" t="s">
        <v>331</v>
      </c>
      <c r="C84" s="400">
        <v>181</v>
      </c>
      <c r="D84" s="414">
        <f>C84/totalm</f>
        <v>0.8578199052132701</v>
      </c>
      <c r="E84" s="415">
        <f>C84/(totalm-q30nm)</f>
        <v>0.8660287081339713</v>
      </c>
      <c r="F84" s="385">
        <v>401</v>
      </c>
      <c r="G84" s="414">
        <v>0.25</v>
      </c>
      <c r="H84" s="415">
        <f>F84/(totalf-q30nf)</f>
        <v>0.9260969976905312</v>
      </c>
      <c r="I84" s="400"/>
      <c r="J84" s="385"/>
      <c r="K84" s="388"/>
    </row>
    <row r="85" spans="1:11" ht="11.25">
      <c r="A85" s="400"/>
      <c r="B85" s="387" t="s">
        <v>332</v>
      </c>
      <c r="C85" s="400">
        <v>21</v>
      </c>
      <c r="D85" s="414">
        <f>C85/totalm</f>
        <v>0.0995260663507109</v>
      </c>
      <c r="E85" s="415">
        <f>C85/(totalm-q30nm)</f>
        <v>0.10047846889952153</v>
      </c>
      <c r="F85" s="385">
        <v>17</v>
      </c>
      <c r="G85" s="414">
        <f>F85/totalf</f>
        <v>0.03917050691244239</v>
      </c>
      <c r="H85" s="415">
        <f>F85/(totalf-q30nf)</f>
        <v>0.03926096997690531</v>
      </c>
      <c r="I85" s="400"/>
      <c r="J85" s="385"/>
      <c r="K85" s="388"/>
    </row>
    <row r="86" spans="1:11" ht="11.25">
      <c r="A86" s="403"/>
      <c r="B86" s="392" t="s">
        <v>160</v>
      </c>
      <c r="C86" s="403">
        <v>2</v>
      </c>
      <c r="D86" s="417">
        <f>C86/totalm</f>
        <v>0.009478672985781991</v>
      </c>
      <c r="E86" s="406" t="s">
        <v>19</v>
      </c>
      <c r="F86" s="391">
        <v>1</v>
      </c>
      <c r="G86" s="417">
        <f>F86/totalf</f>
        <v>0.002304147465437788</v>
      </c>
      <c r="H86" s="406" t="s">
        <v>19</v>
      </c>
      <c r="I86" s="403"/>
      <c r="J86" s="391"/>
      <c r="K86" s="421"/>
    </row>
    <row r="87" spans="1:11" ht="11.25">
      <c r="A87" s="377"/>
      <c r="B87" s="387"/>
      <c r="C87" s="385"/>
      <c r="D87" s="414"/>
      <c r="E87" s="420"/>
      <c r="F87" s="385"/>
      <c r="G87" s="414"/>
      <c r="H87" s="420"/>
      <c r="K87" s="385"/>
    </row>
    <row r="88" spans="1:11" ht="11.25">
      <c r="A88" s="385"/>
      <c r="B88" s="387"/>
      <c r="C88" s="385"/>
      <c r="D88" s="414"/>
      <c r="E88" s="420"/>
      <c r="F88" s="385"/>
      <c r="G88" s="414"/>
      <c r="H88" s="420"/>
      <c r="K88" s="385"/>
    </row>
    <row r="89" spans="1:11" ht="11.25">
      <c r="A89" s="385"/>
      <c r="B89" s="387"/>
      <c r="C89" s="385"/>
      <c r="D89" s="414"/>
      <c r="E89" s="420"/>
      <c r="F89" s="385"/>
      <c r="G89" s="414"/>
      <c r="H89" s="420"/>
      <c r="K89" s="385"/>
    </row>
    <row r="90" spans="1:11" ht="11.25">
      <c r="A90" s="385"/>
      <c r="B90" s="387"/>
      <c r="C90" s="385"/>
      <c r="D90" s="414"/>
      <c r="E90" s="420"/>
      <c r="F90" s="385"/>
      <c r="G90" s="414"/>
      <c r="H90" s="420"/>
      <c r="K90" s="385"/>
    </row>
    <row r="91" spans="1:11" ht="11.25">
      <c r="A91" s="385"/>
      <c r="B91" s="387"/>
      <c r="C91" s="385"/>
      <c r="D91" s="414"/>
      <c r="E91" s="420"/>
      <c r="F91" s="385"/>
      <c r="G91" s="414"/>
      <c r="H91" s="420"/>
      <c r="K91" s="385"/>
    </row>
    <row r="92" spans="1:11" ht="29.25" customHeight="1">
      <c r="A92" s="385"/>
      <c r="B92" s="387"/>
      <c r="C92" s="385"/>
      <c r="D92" s="414"/>
      <c r="E92" s="401"/>
      <c r="F92" s="385"/>
      <c r="G92" s="414"/>
      <c r="H92" s="401"/>
      <c r="K92" s="385"/>
    </row>
    <row r="93" spans="1:11" ht="12.75">
      <c r="A93" s="376" t="s">
        <v>333</v>
      </c>
      <c r="B93" s="379"/>
      <c r="C93" s="379"/>
      <c r="D93" s="379"/>
      <c r="E93" s="379"/>
      <c r="F93" s="380"/>
      <c r="G93" s="380"/>
      <c r="H93" s="380"/>
      <c r="I93" s="380"/>
      <c r="J93" s="380"/>
      <c r="K93" s="381" t="s">
        <v>336</v>
      </c>
    </row>
    <row r="94" spans="1:11" ht="12.75">
      <c r="A94" s="384" t="s">
        <v>313</v>
      </c>
      <c r="B94" s="386"/>
      <c r="C94" s="386"/>
      <c r="D94" s="386"/>
      <c r="E94" s="386"/>
      <c r="F94" s="387"/>
      <c r="G94" s="387"/>
      <c r="H94" s="387"/>
      <c r="I94" s="387"/>
      <c r="J94" s="387"/>
      <c r="K94" s="388"/>
    </row>
    <row r="95" spans="1:11" ht="12.75">
      <c r="A95" s="6" t="s">
        <v>335</v>
      </c>
      <c r="B95" s="8"/>
      <c r="C95" s="386"/>
      <c r="D95" s="386"/>
      <c r="E95" s="386"/>
      <c r="F95" s="387"/>
      <c r="G95" s="387"/>
      <c r="H95" s="387"/>
      <c r="I95" s="387"/>
      <c r="J95" s="387"/>
      <c r="K95" s="388"/>
    </row>
    <row r="96" spans="1:11" ht="12.75">
      <c r="A96" s="389" t="s">
        <v>315</v>
      </c>
      <c r="B96" s="390"/>
      <c r="C96" s="391"/>
      <c r="D96" s="391"/>
      <c r="E96" s="391"/>
      <c r="F96" s="391"/>
      <c r="G96" s="391"/>
      <c r="H96" s="392"/>
      <c r="I96" s="392"/>
      <c r="J96" s="392"/>
      <c r="K96" s="393"/>
    </row>
    <row r="97" spans="1:11" ht="16.5" customHeight="1">
      <c r="A97" s="394"/>
      <c r="B97" s="445"/>
      <c r="C97" s="446" t="s">
        <v>185</v>
      </c>
      <c r="D97" s="447"/>
      <c r="E97" s="448"/>
      <c r="F97" s="446" t="s">
        <v>186</v>
      </c>
      <c r="G97" s="447"/>
      <c r="H97" s="448"/>
      <c r="I97" s="446" t="s">
        <v>187</v>
      </c>
      <c r="J97" s="449"/>
      <c r="K97" s="450"/>
    </row>
    <row r="98" spans="1:11" ht="11.25">
      <c r="A98" s="400"/>
      <c r="B98" s="424"/>
      <c r="C98" s="451"/>
      <c r="D98" s="432" t="s">
        <v>5</v>
      </c>
      <c r="E98" s="433" t="s">
        <v>5</v>
      </c>
      <c r="F98" s="452"/>
      <c r="G98" s="435" t="s">
        <v>5</v>
      </c>
      <c r="H98" s="436" t="s">
        <v>5</v>
      </c>
      <c r="I98" s="452"/>
      <c r="J98" s="435" t="s">
        <v>5</v>
      </c>
      <c r="K98" s="436" t="s">
        <v>5</v>
      </c>
    </row>
    <row r="99" spans="1:11" ht="11.25">
      <c r="A99" s="399" t="s">
        <v>188</v>
      </c>
      <c r="B99" s="424"/>
      <c r="C99" s="452"/>
      <c r="D99" s="435" t="s">
        <v>7</v>
      </c>
      <c r="E99" s="436" t="s">
        <v>8</v>
      </c>
      <c r="F99" s="452"/>
      <c r="G99" s="435" t="s">
        <v>7</v>
      </c>
      <c r="H99" s="436" t="s">
        <v>8</v>
      </c>
      <c r="I99" s="452"/>
      <c r="J99" s="435" t="s">
        <v>7</v>
      </c>
      <c r="K99" s="436" t="s">
        <v>8</v>
      </c>
    </row>
    <row r="100" spans="1:11" ht="11.25">
      <c r="A100" s="403"/>
      <c r="B100" s="437"/>
      <c r="C100" s="438" t="s">
        <v>9</v>
      </c>
      <c r="D100" s="439" t="s">
        <v>10</v>
      </c>
      <c r="E100" s="440" t="s">
        <v>10</v>
      </c>
      <c r="F100" s="438" t="s">
        <v>9</v>
      </c>
      <c r="G100" s="439" t="s">
        <v>10</v>
      </c>
      <c r="H100" s="440" t="s">
        <v>10</v>
      </c>
      <c r="I100" s="438" t="s">
        <v>9</v>
      </c>
      <c r="J100" s="439" t="s">
        <v>10</v>
      </c>
      <c r="K100" s="440" t="s">
        <v>10</v>
      </c>
    </row>
    <row r="101" spans="1:11" ht="16.5" customHeight="1">
      <c r="A101" s="395" t="s">
        <v>11</v>
      </c>
      <c r="B101" s="453"/>
      <c r="C101" s="395">
        <v>582</v>
      </c>
      <c r="D101" s="423">
        <v>1</v>
      </c>
      <c r="E101" s="441"/>
      <c r="F101" s="395">
        <v>41</v>
      </c>
      <c r="G101" s="423">
        <v>1</v>
      </c>
      <c r="H101" s="430"/>
      <c r="I101" s="380">
        <v>22</v>
      </c>
      <c r="J101" s="423">
        <v>1</v>
      </c>
      <c r="K101" s="430"/>
    </row>
    <row r="102" spans="1:11" ht="6" customHeight="1">
      <c r="A102" s="416"/>
      <c r="B102" s="393"/>
      <c r="C102" s="416"/>
      <c r="D102" s="417"/>
      <c r="E102" s="421"/>
      <c r="F102" s="403"/>
      <c r="G102" s="391"/>
      <c r="H102" s="421"/>
      <c r="I102" s="391"/>
      <c r="J102" s="391"/>
      <c r="K102" s="421"/>
    </row>
    <row r="103" spans="1:11" ht="11.25">
      <c r="A103" s="413" t="s">
        <v>316</v>
      </c>
      <c r="B103" s="387" t="s">
        <v>317</v>
      </c>
      <c r="C103" s="400"/>
      <c r="D103" s="414"/>
      <c r="E103" s="388"/>
      <c r="F103" s="385"/>
      <c r="G103" s="385"/>
      <c r="H103" s="388"/>
      <c r="I103" s="385"/>
      <c r="J103" s="385"/>
      <c r="K103" s="388"/>
    </row>
    <row r="104" spans="1:11" ht="11.25">
      <c r="A104" s="400"/>
      <c r="B104" s="387" t="s">
        <v>318</v>
      </c>
      <c r="C104" s="400"/>
      <c r="D104" s="414"/>
      <c r="E104" s="415"/>
      <c r="F104" s="385"/>
      <c r="G104" s="414"/>
      <c r="H104" s="415"/>
      <c r="I104" s="385"/>
      <c r="J104" s="414"/>
      <c r="K104" s="415"/>
    </row>
    <row r="105" spans="1:11" ht="11.25">
      <c r="A105" s="400"/>
      <c r="B105" s="387" t="s">
        <v>319</v>
      </c>
      <c r="C105" s="400">
        <v>184</v>
      </c>
      <c r="D105" s="414">
        <f>C105/totalw</f>
        <v>0.3161512027491409</v>
      </c>
      <c r="E105" s="415">
        <f>C105/(totalw-q28anw)</f>
        <v>0.31669535283993117</v>
      </c>
      <c r="F105" s="385">
        <v>11</v>
      </c>
      <c r="G105" s="414">
        <f>F105/totalb</f>
        <v>0.2682926829268293</v>
      </c>
      <c r="H105" s="415">
        <f>F105/(totalb-q28anb)</f>
        <v>0.2682926829268293</v>
      </c>
      <c r="I105" s="387">
        <v>6</v>
      </c>
      <c r="J105" s="414">
        <f>I105/totalo</f>
        <v>0.2727272727272727</v>
      </c>
      <c r="K105" s="415">
        <f>I105/(totalo-q28ano)</f>
        <v>0.2857142857142857</v>
      </c>
    </row>
    <row r="106" spans="1:11" ht="11.25">
      <c r="A106" s="400"/>
      <c r="B106" s="387" t="s">
        <v>320</v>
      </c>
      <c r="C106" s="400">
        <v>283</v>
      </c>
      <c r="D106" s="414">
        <f>C106/totalw</f>
        <v>0.48625429553264604</v>
      </c>
      <c r="E106" s="415">
        <f>C106/(totalw-q28anw)</f>
        <v>0.48709122203098104</v>
      </c>
      <c r="F106" s="385">
        <v>23</v>
      </c>
      <c r="G106" s="414">
        <f>F106/totalb</f>
        <v>0.5609756097560976</v>
      </c>
      <c r="H106" s="415">
        <f>F106/(totalb-q28anb)</f>
        <v>0.5609756097560976</v>
      </c>
      <c r="I106" s="387">
        <v>9</v>
      </c>
      <c r="J106" s="414">
        <f>I106/totalo</f>
        <v>0.4090909090909091</v>
      </c>
      <c r="K106" s="415">
        <f>I106/(totalo-q28ano)</f>
        <v>0.42857142857142855</v>
      </c>
    </row>
    <row r="107" spans="1:11" ht="11.25">
      <c r="A107" s="400"/>
      <c r="B107" s="387" t="s">
        <v>321</v>
      </c>
      <c r="C107" s="400">
        <v>95</v>
      </c>
      <c r="D107" s="414">
        <f>C107/totalw</f>
        <v>0.16323024054982818</v>
      </c>
      <c r="E107" s="415">
        <f>C107/(totalw-q28anw)</f>
        <v>0.16351118760757316</v>
      </c>
      <c r="F107" s="385">
        <v>5</v>
      </c>
      <c r="G107" s="414">
        <f>F107/totalb</f>
        <v>0.12195121951219512</v>
      </c>
      <c r="H107" s="415">
        <f>F107/(totalb-q28anb)</f>
        <v>0.12195121951219512</v>
      </c>
      <c r="I107" s="387">
        <v>6</v>
      </c>
      <c r="J107" s="414">
        <f>I107/totalo</f>
        <v>0.2727272727272727</v>
      </c>
      <c r="K107" s="415">
        <f>I107/(totalo-q28ano)</f>
        <v>0.2857142857142857</v>
      </c>
    </row>
    <row r="108" spans="1:11" ht="11.25">
      <c r="A108" s="400"/>
      <c r="B108" s="387" t="s">
        <v>322</v>
      </c>
      <c r="C108" s="400">
        <v>19</v>
      </c>
      <c r="D108" s="414">
        <f>C108/totalw</f>
        <v>0.03264604810996564</v>
      </c>
      <c r="E108" s="415">
        <f>C108/(totalw-q28anw)</f>
        <v>0.03270223752151463</v>
      </c>
      <c r="F108" s="385">
        <v>2</v>
      </c>
      <c r="G108" s="414">
        <f>F108/totalb</f>
        <v>0.04878048780487805</v>
      </c>
      <c r="H108" s="415">
        <f>F108/(totalb-q28anb)</f>
        <v>0.04878048780487805</v>
      </c>
      <c r="I108" s="387">
        <v>0</v>
      </c>
      <c r="J108" s="414">
        <f>I108/totalo</f>
        <v>0</v>
      </c>
      <c r="K108" s="415">
        <f>I108/(totalo-q28ano)</f>
        <v>0</v>
      </c>
    </row>
    <row r="109" spans="1:11" ht="11.25">
      <c r="A109" s="403"/>
      <c r="B109" s="392" t="s">
        <v>160</v>
      </c>
      <c r="C109" s="403">
        <v>1</v>
      </c>
      <c r="D109" s="417">
        <f>C109/totalw</f>
        <v>0.001718213058419244</v>
      </c>
      <c r="E109" s="406" t="s">
        <v>19</v>
      </c>
      <c r="F109" s="391">
        <v>0</v>
      </c>
      <c r="G109" s="417">
        <f>F109/totalb</f>
        <v>0</v>
      </c>
      <c r="H109" s="406" t="s">
        <v>19</v>
      </c>
      <c r="I109" s="392">
        <v>1</v>
      </c>
      <c r="J109" s="417">
        <f>I109/totalo</f>
        <v>0.045454545454545456</v>
      </c>
      <c r="K109" s="406" t="s">
        <v>19</v>
      </c>
    </row>
    <row r="110" spans="1:11" ht="11.25">
      <c r="A110" s="413" t="s">
        <v>323</v>
      </c>
      <c r="B110" s="387" t="s">
        <v>324</v>
      </c>
      <c r="C110" s="400"/>
      <c r="D110" s="454"/>
      <c r="E110" s="418"/>
      <c r="F110" s="385"/>
      <c r="G110" s="454"/>
      <c r="H110" s="418"/>
      <c r="I110" s="385"/>
      <c r="J110" s="454"/>
      <c r="K110" s="418"/>
    </row>
    <row r="111" spans="1:11" ht="11.25">
      <c r="A111" s="400"/>
      <c r="B111" s="387" t="s">
        <v>325</v>
      </c>
      <c r="C111" s="413"/>
      <c r="D111" s="385"/>
      <c r="E111" s="388"/>
      <c r="F111" s="385"/>
      <c r="G111" s="385"/>
      <c r="H111" s="388"/>
      <c r="I111" s="385"/>
      <c r="J111" s="385"/>
      <c r="K111" s="388"/>
    </row>
    <row r="112" spans="1:11" ht="11.25">
      <c r="A112" s="400"/>
      <c r="B112" s="387" t="s">
        <v>319</v>
      </c>
      <c r="C112" s="400">
        <v>128</v>
      </c>
      <c r="D112" s="414">
        <f>C112/totalw</f>
        <v>0.21993127147766323</v>
      </c>
      <c r="E112" s="415">
        <f>C112/(totalw-q28bnw)</f>
        <v>0.22030981067125646</v>
      </c>
      <c r="F112" s="385">
        <v>9</v>
      </c>
      <c r="G112" s="414">
        <f>F112/totalb</f>
        <v>0.21951219512195122</v>
      </c>
      <c r="H112" s="415">
        <f>F112/(totalb-q28bnb)</f>
        <v>0.21951219512195122</v>
      </c>
      <c r="I112" s="387">
        <v>3</v>
      </c>
      <c r="J112" s="414">
        <f>I112/totalo</f>
        <v>0.13636363636363635</v>
      </c>
      <c r="K112" s="415">
        <f>I112/(totalo-q28bno)</f>
        <v>0.14285714285714285</v>
      </c>
    </row>
    <row r="113" spans="1:11" ht="11.25">
      <c r="A113" s="400"/>
      <c r="B113" s="387" t="s">
        <v>320</v>
      </c>
      <c r="C113" s="400">
        <v>281</v>
      </c>
      <c r="D113" s="414">
        <f>C113/totalw</f>
        <v>0.48281786941580757</v>
      </c>
      <c r="E113" s="415">
        <f>C113/(totalw-q28bnw)</f>
        <v>0.4836488812392427</v>
      </c>
      <c r="F113" s="385">
        <v>18</v>
      </c>
      <c r="G113" s="414">
        <f>F113/totalb</f>
        <v>0.43902439024390244</v>
      </c>
      <c r="H113" s="415">
        <f>F113/(totalb-q28bnb)</f>
        <v>0.43902439024390244</v>
      </c>
      <c r="I113" s="387">
        <v>11</v>
      </c>
      <c r="J113" s="414">
        <f>I113/totalo</f>
        <v>0.5</v>
      </c>
      <c r="K113" s="415">
        <f>I113/(totalo-q28bno)</f>
        <v>0.5238095238095238</v>
      </c>
    </row>
    <row r="114" spans="1:11" ht="11.25">
      <c r="A114" s="400"/>
      <c r="B114" s="387" t="s">
        <v>321</v>
      </c>
      <c r="C114" s="400">
        <v>144</v>
      </c>
      <c r="D114" s="414">
        <f>C114/totalw</f>
        <v>0.24742268041237114</v>
      </c>
      <c r="E114" s="415">
        <f>C114/(totalw-q28bnw)</f>
        <v>0.24784853700516352</v>
      </c>
      <c r="F114" s="385">
        <v>11</v>
      </c>
      <c r="G114" s="414">
        <f>F114/totalb</f>
        <v>0.2682926829268293</v>
      </c>
      <c r="H114" s="415">
        <f>F114/(totalb-q28bnb)</f>
        <v>0.2682926829268293</v>
      </c>
      <c r="I114" s="387">
        <v>7</v>
      </c>
      <c r="J114" s="414">
        <f>I114/totalo</f>
        <v>0.3181818181818182</v>
      </c>
      <c r="K114" s="415">
        <f>I114/(totalo-q28bno)</f>
        <v>0.3333333333333333</v>
      </c>
    </row>
    <row r="115" spans="1:11" ht="11.25">
      <c r="A115" s="400"/>
      <c r="B115" s="387" t="s">
        <v>322</v>
      </c>
      <c r="C115" s="400">
        <v>28</v>
      </c>
      <c r="D115" s="414">
        <f>C115/totalw</f>
        <v>0.048109965635738834</v>
      </c>
      <c r="E115" s="415">
        <f>C115/(totalw-q28bnw)</f>
        <v>0.04819277108433735</v>
      </c>
      <c r="F115" s="385">
        <v>3</v>
      </c>
      <c r="G115" s="414">
        <f>F115/totalb</f>
        <v>0.07317073170731707</v>
      </c>
      <c r="H115" s="415">
        <f>F115/(totalb-q28bnb)</f>
        <v>0.07317073170731707</v>
      </c>
      <c r="I115" s="387">
        <v>0</v>
      </c>
      <c r="J115" s="414">
        <f>I115/totalo</f>
        <v>0</v>
      </c>
      <c r="K115" s="415">
        <f>I115/(totalo-q28bno)</f>
        <v>0</v>
      </c>
    </row>
    <row r="116" spans="1:11" ht="11.25">
      <c r="A116" s="403"/>
      <c r="B116" s="392" t="s">
        <v>160</v>
      </c>
      <c r="C116" s="403">
        <v>1</v>
      </c>
      <c r="D116" s="417">
        <f>C116/totalw</f>
        <v>0.001718213058419244</v>
      </c>
      <c r="E116" s="406" t="s">
        <v>19</v>
      </c>
      <c r="F116" s="391">
        <v>0</v>
      </c>
      <c r="G116" s="417">
        <f>F116/totalb</f>
        <v>0</v>
      </c>
      <c r="H116" s="406" t="s">
        <v>19</v>
      </c>
      <c r="I116" s="392">
        <v>1</v>
      </c>
      <c r="J116" s="417">
        <f>I116/totalo</f>
        <v>0.045454545454545456</v>
      </c>
      <c r="K116" s="406" t="s">
        <v>19</v>
      </c>
    </row>
    <row r="117" spans="1:11" ht="11.25">
      <c r="A117" s="413" t="s">
        <v>326</v>
      </c>
      <c r="B117" s="383" t="s">
        <v>324</v>
      </c>
      <c r="C117" s="394"/>
      <c r="D117" s="423"/>
      <c r="E117" s="441"/>
      <c r="G117" s="412"/>
      <c r="H117" s="415"/>
      <c r="J117" s="412"/>
      <c r="K117" s="415"/>
    </row>
    <row r="118" spans="1:11" ht="11.25">
      <c r="A118" s="400"/>
      <c r="B118" s="383" t="s">
        <v>327</v>
      </c>
      <c r="C118" s="400"/>
      <c r="D118" s="414"/>
      <c r="E118" s="415"/>
      <c r="G118" s="412"/>
      <c r="H118" s="415"/>
      <c r="J118" s="412"/>
      <c r="K118" s="415"/>
    </row>
    <row r="119" spans="1:11" ht="11.25">
      <c r="A119" s="400"/>
      <c r="B119" s="383" t="s">
        <v>319</v>
      </c>
      <c r="C119" s="400">
        <v>162</v>
      </c>
      <c r="D119" s="414">
        <f>C119/totalw</f>
        <v>0.27835051546391754</v>
      </c>
      <c r="E119" s="415">
        <f>C119/(totalw-q28cnw)</f>
        <v>0.27882960413080893</v>
      </c>
      <c r="F119" s="382">
        <v>10</v>
      </c>
      <c r="G119" s="412">
        <f>F119/totalb</f>
        <v>0.24390243902439024</v>
      </c>
      <c r="H119" s="415">
        <f>F119/(totalb-q28cnb)</f>
        <v>0.24390243902439024</v>
      </c>
      <c r="I119" s="383">
        <v>2</v>
      </c>
      <c r="J119" s="412">
        <f>I119/totalo</f>
        <v>0.09090909090909091</v>
      </c>
      <c r="K119" s="415">
        <f>I119/(totalo-q28cno)</f>
        <v>0.1</v>
      </c>
    </row>
    <row r="120" spans="1:11" ht="11.25">
      <c r="A120" s="400"/>
      <c r="B120" s="383" t="s">
        <v>320</v>
      </c>
      <c r="C120" s="400">
        <v>308</v>
      </c>
      <c r="D120" s="414">
        <f>C120/totalw</f>
        <v>0.5292096219931272</v>
      </c>
      <c r="E120" s="415">
        <f>C120/(totalw-q28cnw)</f>
        <v>0.5301204819277109</v>
      </c>
      <c r="F120" s="382">
        <v>22</v>
      </c>
      <c r="G120" s="412">
        <f>F120/totalb</f>
        <v>0.5365853658536586</v>
      </c>
      <c r="H120" s="415">
        <f>F120/(totalb-q28cnb)</f>
        <v>0.5365853658536586</v>
      </c>
      <c r="I120" s="383">
        <v>11</v>
      </c>
      <c r="J120" s="412">
        <f>I120/totalo</f>
        <v>0.5</v>
      </c>
      <c r="K120" s="415">
        <f>I120/(totalo-q28cno)</f>
        <v>0.55</v>
      </c>
    </row>
    <row r="121" spans="1:11" ht="11.25">
      <c r="A121" s="400"/>
      <c r="B121" s="383" t="s">
        <v>321</v>
      </c>
      <c r="C121" s="400">
        <v>91</v>
      </c>
      <c r="D121" s="414">
        <f>C121/totalw</f>
        <v>0.1563573883161512</v>
      </c>
      <c r="E121" s="415">
        <f>C121/(totalw-q28cnw)</f>
        <v>0.1566265060240964</v>
      </c>
      <c r="F121" s="382">
        <v>9</v>
      </c>
      <c r="G121" s="412">
        <f>F121/totalb</f>
        <v>0.21951219512195122</v>
      </c>
      <c r="H121" s="415">
        <f>F121/(totalb-q28cnb)</f>
        <v>0.21951219512195122</v>
      </c>
      <c r="I121" s="383">
        <v>7</v>
      </c>
      <c r="J121" s="412">
        <f>I121/totalo</f>
        <v>0.3181818181818182</v>
      </c>
      <c r="K121" s="415">
        <f>I121/(totalo-q28cno)</f>
        <v>0.35</v>
      </c>
    </row>
    <row r="122" spans="1:11" ht="11.25">
      <c r="A122" s="400"/>
      <c r="B122" s="383" t="s">
        <v>322</v>
      </c>
      <c r="C122" s="400">
        <v>20</v>
      </c>
      <c r="D122" s="414">
        <f>C122/totalw</f>
        <v>0.03436426116838488</v>
      </c>
      <c r="E122" s="415">
        <f>C122/(totalw-q28cnw)</f>
        <v>0.03442340791738382</v>
      </c>
      <c r="F122" s="382">
        <v>0</v>
      </c>
      <c r="G122" s="412">
        <f>F122/totalb</f>
        <v>0</v>
      </c>
      <c r="H122" s="415">
        <f>F122/(totalb-q28cnb)</f>
        <v>0</v>
      </c>
      <c r="I122" s="383">
        <v>0</v>
      </c>
      <c r="J122" s="412">
        <f>I122/totalo</f>
        <v>0</v>
      </c>
      <c r="K122" s="415">
        <f>I122/(totalo-q28cno)</f>
        <v>0</v>
      </c>
    </row>
    <row r="123" spans="1:11" ht="11.25">
      <c r="A123" s="403"/>
      <c r="B123" s="392" t="s">
        <v>160</v>
      </c>
      <c r="C123" s="403">
        <v>1</v>
      </c>
      <c r="D123" s="417">
        <f>C123/totalw</f>
        <v>0.001718213058419244</v>
      </c>
      <c r="E123" s="406" t="s">
        <v>19</v>
      </c>
      <c r="F123" s="391">
        <v>0</v>
      </c>
      <c r="G123" s="417">
        <f>F123/totalb</f>
        <v>0</v>
      </c>
      <c r="H123" s="406" t="s">
        <v>19</v>
      </c>
      <c r="I123" s="392">
        <v>2</v>
      </c>
      <c r="J123" s="417">
        <f>I123/totalo</f>
        <v>0.09090909090909091</v>
      </c>
      <c r="K123" s="406" t="s">
        <v>19</v>
      </c>
    </row>
    <row r="124" spans="1:11" ht="11.25">
      <c r="A124" s="419">
        <v>24</v>
      </c>
      <c r="B124" s="383" t="s">
        <v>328</v>
      </c>
      <c r="C124" s="394"/>
      <c r="D124" s="423"/>
      <c r="E124" s="441"/>
      <c r="G124" s="412"/>
      <c r="H124" s="415"/>
      <c r="J124" s="412"/>
      <c r="K124" s="415"/>
    </row>
    <row r="125" spans="1:11" ht="11.25">
      <c r="A125" s="400"/>
      <c r="B125" s="383" t="s">
        <v>319</v>
      </c>
      <c r="C125" s="400">
        <v>202</v>
      </c>
      <c r="D125" s="414">
        <f>C125/totalw</f>
        <v>0.3470790378006873</v>
      </c>
      <c r="E125" s="415">
        <f>C125/(totalw-q29nw)</f>
        <v>0.3488773747841105</v>
      </c>
      <c r="F125" s="382">
        <v>17</v>
      </c>
      <c r="G125" s="412">
        <f>F125/totalb</f>
        <v>0.4146341463414634</v>
      </c>
      <c r="H125" s="415">
        <f>F125/(totalb-q29nb)</f>
        <v>0.425</v>
      </c>
      <c r="I125" s="383">
        <v>8</v>
      </c>
      <c r="J125" s="412">
        <f>I125/totalo</f>
        <v>0.36363636363636365</v>
      </c>
      <c r="K125" s="415">
        <f>I125/(totalo-q29no)</f>
        <v>0.38095238095238093</v>
      </c>
    </row>
    <row r="126" spans="1:11" ht="11.25">
      <c r="A126" s="400"/>
      <c r="B126" s="383" t="s">
        <v>320</v>
      </c>
      <c r="C126" s="400">
        <v>299</v>
      </c>
      <c r="D126" s="414">
        <f>C126/totalw</f>
        <v>0.5137457044673539</v>
      </c>
      <c r="E126" s="415">
        <f>C126/(totalw-q29nw)</f>
        <v>0.5164075993091537</v>
      </c>
      <c r="F126" s="382">
        <v>20</v>
      </c>
      <c r="G126" s="412">
        <f>F126/totalb</f>
        <v>0.4878048780487805</v>
      </c>
      <c r="H126" s="415">
        <f>F126/(totalb-q29nb)</f>
        <v>0.5</v>
      </c>
      <c r="I126" s="383">
        <v>11</v>
      </c>
      <c r="J126" s="412">
        <f>I126/totalo</f>
        <v>0.5</v>
      </c>
      <c r="K126" s="415">
        <f>I126/(totalo-q29no)</f>
        <v>0.5238095238095238</v>
      </c>
    </row>
    <row r="127" spans="1:11" ht="11.25">
      <c r="A127" s="400"/>
      <c r="B127" s="383" t="s">
        <v>321</v>
      </c>
      <c r="C127" s="400">
        <v>66</v>
      </c>
      <c r="D127" s="414">
        <f>C127/totalw</f>
        <v>0.1134020618556701</v>
      </c>
      <c r="E127" s="415">
        <f>C127/(totalw-q29nw)</f>
        <v>0.11398963730569948</v>
      </c>
      <c r="F127" s="382">
        <v>2</v>
      </c>
      <c r="G127" s="412">
        <f>F127/totalb</f>
        <v>0.04878048780487805</v>
      </c>
      <c r="H127" s="415">
        <f>F127/(totalb-q29nb)</f>
        <v>0.05</v>
      </c>
      <c r="I127" s="383">
        <v>2</v>
      </c>
      <c r="J127" s="412">
        <f>I127/totalo</f>
        <v>0.09090909090909091</v>
      </c>
      <c r="K127" s="415">
        <f>I127/(totalo-q29no)</f>
        <v>0.09523809523809523</v>
      </c>
    </row>
    <row r="128" spans="1:11" ht="11.25">
      <c r="A128" s="400"/>
      <c r="B128" s="383" t="s">
        <v>322</v>
      </c>
      <c r="C128" s="400">
        <v>12</v>
      </c>
      <c r="D128" s="414">
        <f>C128/totalw</f>
        <v>0.020618556701030927</v>
      </c>
      <c r="E128" s="415">
        <f>C128/(totalw-q29nw)</f>
        <v>0.02072538860103627</v>
      </c>
      <c r="F128" s="382">
        <v>1</v>
      </c>
      <c r="G128" s="412">
        <f>F128/totalb</f>
        <v>0.024390243902439025</v>
      </c>
      <c r="H128" s="415">
        <f>F128/(totalb-q29nb)</f>
        <v>0.025</v>
      </c>
      <c r="I128" s="383">
        <v>0</v>
      </c>
      <c r="J128" s="412">
        <f>I128/totalo</f>
        <v>0</v>
      </c>
      <c r="K128" s="415">
        <f>I128/(totalo-q29no)</f>
        <v>0</v>
      </c>
    </row>
    <row r="129" spans="1:11" ht="11.25">
      <c r="A129" s="403"/>
      <c r="B129" s="392" t="s">
        <v>160</v>
      </c>
      <c r="C129" s="403">
        <v>3</v>
      </c>
      <c r="D129" s="417">
        <f>C129/totalw</f>
        <v>0.005154639175257732</v>
      </c>
      <c r="E129" s="406" t="s">
        <v>19</v>
      </c>
      <c r="F129" s="391">
        <v>1</v>
      </c>
      <c r="G129" s="417">
        <f>F129/totalb</f>
        <v>0.024390243902439025</v>
      </c>
      <c r="H129" s="406" t="s">
        <v>19</v>
      </c>
      <c r="I129" s="392">
        <v>1</v>
      </c>
      <c r="J129" s="417">
        <f>I129/totalo</f>
        <v>0.045454545454545456</v>
      </c>
      <c r="K129" s="406" t="s">
        <v>19</v>
      </c>
    </row>
    <row r="130" spans="1:11" ht="11.25">
      <c r="A130" s="419">
        <v>25</v>
      </c>
      <c r="B130" s="383" t="s">
        <v>329</v>
      </c>
      <c r="C130" s="400"/>
      <c r="D130" s="414"/>
      <c r="E130" s="415"/>
      <c r="G130" s="412"/>
      <c r="H130" s="415"/>
      <c r="I130" s="383"/>
      <c r="J130" s="412"/>
      <c r="K130" s="415"/>
    </row>
    <row r="131" spans="1:11" ht="11.25">
      <c r="A131" s="400"/>
      <c r="B131" s="383" t="s">
        <v>330</v>
      </c>
      <c r="C131" s="400">
        <v>20</v>
      </c>
      <c r="D131" s="414">
        <f>C131/totalw</f>
        <v>0.03436426116838488</v>
      </c>
      <c r="E131" s="415">
        <f>C131/(totalw-q30nw)</f>
        <v>0.03442340791738382</v>
      </c>
      <c r="F131" s="382">
        <v>1</v>
      </c>
      <c r="G131" s="412">
        <f>F131/totalb</f>
        <v>0.024390243902439025</v>
      </c>
      <c r="H131" s="415">
        <f>F131/(totalb-q30nb)</f>
        <v>0.025</v>
      </c>
      <c r="I131" s="383">
        <v>1</v>
      </c>
      <c r="J131" s="412">
        <f>I131/totalo</f>
        <v>0.045454545454545456</v>
      </c>
      <c r="K131" s="415">
        <f>I131/(totalo-q30no)</f>
        <v>0.047619047619047616</v>
      </c>
    </row>
    <row r="132" spans="1:11" ht="11.25">
      <c r="A132" s="400"/>
      <c r="B132" s="383" t="s">
        <v>331</v>
      </c>
      <c r="C132" s="400">
        <v>525</v>
      </c>
      <c r="D132" s="414">
        <f>C132/totalw</f>
        <v>0.9020618556701031</v>
      </c>
      <c r="E132" s="415">
        <f>C132/(totalw-q30nw)</f>
        <v>0.9036144578313253</v>
      </c>
      <c r="F132" s="382">
        <v>38</v>
      </c>
      <c r="G132" s="412">
        <f>F132/totalb</f>
        <v>0.926829268292683</v>
      </c>
      <c r="H132" s="415">
        <f>F132/(totalb-q30nb)</f>
        <v>0.95</v>
      </c>
      <c r="I132" s="383">
        <v>19</v>
      </c>
      <c r="J132" s="412">
        <f>I132/totalo</f>
        <v>0.8636363636363636</v>
      </c>
      <c r="K132" s="415">
        <f>I132/(totalo-q30no)</f>
        <v>0.9047619047619048</v>
      </c>
    </row>
    <row r="133" spans="1:11" ht="11.25">
      <c r="A133" s="400"/>
      <c r="B133" s="383" t="s">
        <v>332</v>
      </c>
      <c r="C133" s="400">
        <v>36</v>
      </c>
      <c r="D133" s="414">
        <f>C133/totalw</f>
        <v>0.061855670103092786</v>
      </c>
      <c r="E133" s="415">
        <f>C133/(totalw-q30nw)</f>
        <v>0.06196213425129088</v>
      </c>
      <c r="F133" s="382">
        <v>1</v>
      </c>
      <c r="G133" s="412">
        <f>F133/totalb</f>
        <v>0.024390243902439025</v>
      </c>
      <c r="H133" s="415">
        <f>F133/(totalb-q30nb)</f>
        <v>0.025</v>
      </c>
      <c r="I133" s="383">
        <v>1</v>
      </c>
      <c r="J133" s="412">
        <f>I133/totalo</f>
        <v>0.045454545454545456</v>
      </c>
      <c r="K133" s="415">
        <f>I133/(totalo-q30no)</f>
        <v>0.047619047619047616</v>
      </c>
    </row>
    <row r="134" spans="1:11" ht="11.25">
      <c r="A134" s="403"/>
      <c r="B134" s="392" t="s">
        <v>160</v>
      </c>
      <c r="C134" s="403">
        <v>1</v>
      </c>
      <c r="D134" s="417">
        <f>C134/totalw</f>
        <v>0.001718213058419244</v>
      </c>
      <c r="E134" s="406" t="s">
        <v>19</v>
      </c>
      <c r="F134" s="391">
        <v>1</v>
      </c>
      <c r="G134" s="417">
        <f>F134/totalb</f>
        <v>0.024390243902439025</v>
      </c>
      <c r="H134" s="406" t="s">
        <v>19</v>
      </c>
      <c r="I134" s="455">
        <v>1</v>
      </c>
      <c r="J134" s="417">
        <f>I134/totalo</f>
        <v>0.045454545454545456</v>
      </c>
      <c r="K134" s="406" t="s">
        <v>19</v>
      </c>
    </row>
    <row r="135" spans="1:11" ht="11.25">
      <c r="A135" s="394" t="s">
        <v>265</v>
      </c>
      <c r="B135" s="377"/>
      <c r="C135" s="377"/>
      <c r="D135" s="442"/>
      <c r="E135" s="442"/>
      <c r="F135" s="377"/>
      <c r="G135" s="442"/>
      <c r="H135" s="442"/>
      <c r="I135" s="377"/>
      <c r="J135" s="442"/>
      <c r="K135" s="443"/>
    </row>
    <row r="136" spans="1:11" ht="11.25">
      <c r="A136" s="456" t="s">
        <v>310</v>
      </c>
      <c r="B136" s="457"/>
      <c r="C136" s="391"/>
      <c r="D136" s="391"/>
      <c r="E136" s="391"/>
      <c r="F136" s="391"/>
      <c r="G136" s="391"/>
      <c r="H136" s="391"/>
      <c r="I136" s="391"/>
      <c r="J136" s="391"/>
      <c r="K136" s="421"/>
    </row>
  </sheetData>
  <mergeCells count="1">
    <mergeCell ref="A136:B136"/>
  </mergeCells>
  <printOptions horizontalCentered="1"/>
  <pageMargins left="0.22" right="0.23" top="0.33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rowBreaks count="2" manualBreakCount="2">
    <brk id="44" max="10" man="1"/>
    <brk id="9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1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3.421875" style="463" customWidth="1"/>
    <col min="2" max="2" width="37.28125" style="463" customWidth="1"/>
    <col min="3" max="3" width="7.7109375" style="463" customWidth="1"/>
    <col min="4" max="5" width="13.57421875" style="463" customWidth="1"/>
    <col min="6" max="6" width="7.7109375" style="463" customWidth="1"/>
    <col min="7" max="8" width="13.57421875" style="463" customWidth="1"/>
    <col min="9" max="9" width="7.7109375" style="463" customWidth="1"/>
    <col min="10" max="11" width="13.57421875" style="463" customWidth="1"/>
    <col min="12" max="12" width="7.8515625" style="463" customWidth="1"/>
    <col min="13" max="13" width="3.57421875" style="463" customWidth="1"/>
    <col min="14" max="14" width="13.140625" style="463" customWidth="1"/>
    <col min="15" max="18" width="15.140625" style="463" customWidth="1"/>
    <col min="19" max="20" width="11.28125" style="463" customWidth="1"/>
    <col min="21" max="21" width="12.140625" style="463" customWidth="1"/>
    <col min="22" max="22" width="11.140625" style="463" customWidth="1"/>
    <col min="23" max="24" width="7.8515625" style="463" customWidth="1"/>
    <col min="25" max="25" width="10.421875" style="463" customWidth="1"/>
    <col min="26" max="26" width="9.57421875" style="463" customWidth="1"/>
    <col min="27" max="27" width="28.421875" style="463" customWidth="1"/>
    <col min="28" max="28" width="7.8515625" style="463" customWidth="1"/>
    <col min="29" max="30" width="11.28125" style="463" customWidth="1"/>
    <col min="31" max="31" width="2.7109375" style="463" customWidth="1"/>
    <col min="32" max="32" width="7.8515625" style="463" customWidth="1"/>
    <col min="33" max="34" width="11.28125" style="463" customWidth="1"/>
    <col min="35" max="35" width="2.7109375" style="463" customWidth="1"/>
    <col min="36" max="36" width="7.8515625" style="463" customWidth="1"/>
    <col min="37" max="38" width="11.28125" style="463" customWidth="1"/>
    <col min="39" max="16384" width="7.8515625" style="463" customWidth="1"/>
  </cols>
  <sheetData>
    <row r="1" spans="1:11" ht="12.75">
      <c r="A1" s="458" t="s">
        <v>337</v>
      </c>
      <c r="B1" s="459"/>
      <c r="C1" s="460"/>
      <c r="D1" s="460"/>
      <c r="E1" s="460"/>
      <c r="F1" s="461"/>
      <c r="G1" s="461"/>
      <c r="H1" s="461"/>
      <c r="I1" s="461"/>
      <c r="J1" s="461"/>
      <c r="K1" s="462" t="s">
        <v>338</v>
      </c>
    </row>
    <row r="2" spans="1:11" ht="12.75">
      <c r="A2" s="464" t="s">
        <v>313</v>
      </c>
      <c r="B2" s="465"/>
      <c r="C2" s="466"/>
      <c r="D2" s="466"/>
      <c r="E2" s="466"/>
      <c r="F2" s="467"/>
      <c r="G2" s="467"/>
      <c r="H2" s="467"/>
      <c r="I2" s="467"/>
      <c r="J2" s="467"/>
      <c r="K2" s="468"/>
    </row>
    <row r="3" spans="1:11" ht="12.75">
      <c r="A3" s="6" t="s">
        <v>339</v>
      </c>
      <c r="B3" s="465"/>
      <c r="C3" s="466"/>
      <c r="D3" s="466"/>
      <c r="E3" s="466"/>
      <c r="F3" s="467"/>
      <c r="G3" s="467"/>
      <c r="H3" s="467"/>
      <c r="I3" s="467"/>
      <c r="J3" s="467"/>
      <c r="K3" s="468"/>
    </row>
    <row r="4" spans="1:15" ht="12.75">
      <c r="A4" s="469" t="s">
        <v>340</v>
      </c>
      <c r="B4" s="470"/>
      <c r="C4" s="470"/>
      <c r="D4" s="470"/>
      <c r="E4" s="470"/>
      <c r="F4" s="470"/>
      <c r="G4" s="470"/>
      <c r="H4" s="471"/>
      <c r="I4" s="471"/>
      <c r="J4" s="471"/>
      <c r="K4" s="472"/>
      <c r="L4" s="473"/>
      <c r="M4" s="474"/>
      <c r="N4" s="473"/>
      <c r="O4" s="473"/>
    </row>
    <row r="5" spans="1:18" ht="11.25">
      <c r="A5" s="475"/>
      <c r="B5" s="476"/>
      <c r="C5" s="475"/>
      <c r="D5" s="477" t="s">
        <v>5</v>
      </c>
      <c r="E5" s="477" t="s">
        <v>5</v>
      </c>
      <c r="F5" s="478"/>
      <c r="G5" s="459"/>
      <c r="H5" s="477"/>
      <c r="I5" s="477"/>
      <c r="J5" s="477"/>
      <c r="K5" s="479"/>
      <c r="L5" s="474"/>
      <c r="M5" s="474"/>
      <c r="N5" s="474"/>
      <c r="O5" s="474"/>
      <c r="P5" s="474"/>
      <c r="Q5" s="474"/>
      <c r="R5" s="474"/>
    </row>
    <row r="6" spans="1:19" ht="12.75">
      <c r="A6" s="480"/>
      <c r="B6" s="481" t="s">
        <v>6</v>
      </c>
      <c r="C6" s="482"/>
      <c r="D6" s="483" t="s">
        <v>7</v>
      </c>
      <c r="E6" s="483" t="s">
        <v>8</v>
      </c>
      <c r="F6" s="482"/>
      <c r="G6" s="465"/>
      <c r="H6" s="483"/>
      <c r="I6" s="483"/>
      <c r="J6" s="483"/>
      <c r="K6" s="484"/>
      <c r="L6" s="474"/>
      <c r="M6" s="474"/>
      <c r="N6" s="474"/>
      <c r="O6" s="474"/>
      <c r="P6" s="474"/>
      <c r="Q6" s="474"/>
      <c r="R6" s="474"/>
      <c r="S6" s="474"/>
    </row>
    <row r="7" spans="1:18" ht="11.25">
      <c r="A7" s="485"/>
      <c r="B7" s="486"/>
      <c r="C7" s="487" t="s">
        <v>9</v>
      </c>
      <c r="D7" s="488" t="s">
        <v>10</v>
      </c>
      <c r="E7" s="488" t="s">
        <v>10</v>
      </c>
      <c r="F7" s="482"/>
      <c r="G7" s="465"/>
      <c r="H7" s="483"/>
      <c r="I7" s="483"/>
      <c r="J7" s="483"/>
      <c r="K7" s="484"/>
      <c r="L7" s="474"/>
      <c r="M7" s="474"/>
      <c r="N7" s="474"/>
      <c r="O7" s="474"/>
      <c r="P7" s="474"/>
      <c r="Q7" s="474"/>
      <c r="R7" s="474"/>
    </row>
    <row r="8" spans="1:11" ht="19.5" customHeight="1">
      <c r="A8" s="489"/>
      <c r="B8" s="490" t="s">
        <v>11</v>
      </c>
      <c r="C8" s="491">
        <v>645</v>
      </c>
      <c r="D8" s="492">
        <v>1</v>
      </c>
      <c r="E8" s="492"/>
      <c r="F8" s="482"/>
      <c r="G8" s="465"/>
      <c r="H8" s="465"/>
      <c r="I8" s="465"/>
      <c r="J8" s="465"/>
      <c r="K8" s="468"/>
    </row>
    <row r="9" spans="1:11" ht="11.25">
      <c r="A9" s="493" t="s">
        <v>341</v>
      </c>
      <c r="B9" s="494" t="s">
        <v>342</v>
      </c>
      <c r="C9" s="495"/>
      <c r="D9" s="496"/>
      <c r="E9" s="465"/>
      <c r="F9" s="482"/>
      <c r="G9" s="465"/>
      <c r="H9" s="465"/>
      <c r="I9" s="465"/>
      <c r="J9" s="465"/>
      <c r="K9" s="468"/>
    </row>
    <row r="10" spans="1:11" ht="11.25">
      <c r="A10" s="497" t="s">
        <v>343</v>
      </c>
      <c r="B10" s="467" t="s">
        <v>344</v>
      </c>
      <c r="C10" s="482"/>
      <c r="D10" s="465"/>
      <c r="E10" s="465"/>
      <c r="F10" s="482"/>
      <c r="G10" s="465"/>
      <c r="H10" s="465"/>
      <c r="I10" s="465"/>
      <c r="J10" s="465"/>
      <c r="K10" s="468"/>
    </row>
    <row r="11" spans="1:11" ht="11.25">
      <c r="A11" s="482"/>
      <c r="B11" s="467" t="s">
        <v>345</v>
      </c>
      <c r="C11" s="495">
        <v>82</v>
      </c>
      <c r="D11" s="496">
        <f aca="true" t="shared" si="0" ref="D11:D16">C11/total</f>
        <v>0.12713178294573643</v>
      </c>
      <c r="E11" s="496">
        <f>C11/(total-q15an)</f>
        <v>0.128125</v>
      </c>
      <c r="F11" s="482"/>
      <c r="G11" s="465"/>
      <c r="H11" s="465"/>
      <c r="I11" s="465"/>
      <c r="J11" s="465"/>
      <c r="K11" s="468"/>
    </row>
    <row r="12" spans="1:11" ht="11.25">
      <c r="A12" s="482"/>
      <c r="B12" s="467" t="s">
        <v>346</v>
      </c>
      <c r="C12" s="495">
        <v>323</v>
      </c>
      <c r="D12" s="496">
        <f t="shared" si="0"/>
        <v>0.5007751937984496</v>
      </c>
      <c r="E12" s="496">
        <f>C12/(total-q15an)</f>
        <v>0.5046875</v>
      </c>
      <c r="F12" s="482"/>
      <c r="G12" s="465"/>
      <c r="H12" s="465"/>
      <c r="I12" s="465"/>
      <c r="J12" s="465"/>
      <c r="K12" s="468"/>
    </row>
    <row r="13" spans="1:26" ht="11.25">
      <c r="A13" s="482"/>
      <c r="B13" s="467" t="s">
        <v>347</v>
      </c>
      <c r="C13" s="495">
        <v>187</v>
      </c>
      <c r="D13" s="496">
        <f t="shared" si="0"/>
        <v>0.289922480620155</v>
      </c>
      <c r="E13" s="496">
        <f>C13/(total-q15an)</f>
        <v>0.2921875</v>
      </c>
      <c r="F13" s="482"/>
      <c r="G13" s="465"/>
      <c r="H13" s="465"/>
      <c r="I13" s="465"/>
      <c r="J13" s="465"/>
      <c r="K13" s="468"/>
      <c r="O13" s="467" t="s">
        <v>344</v>
      </c>
      <c r="P13" s="467" t="s">
        <v>351</v>
      </c>
      <c r="Q13" s="467" t="s">
        <v>422</v>
      </c>
      <c r="R13" s="467" t="s">
        <v>356</v>
      </c>
      <c r="S13" s="467" t="s">
        <v>358</v>
      </c>
      <c r="T13" s="467" t="s">
        <v>362</v>
      </c>
      <c r="U13" s="467" t="s">
        <v>364</v>
      </c>
      <c r="V13" s="467" t="s">
        <v>366</v>
      </c>
      <c r="W13" s="467" t="s">
        <v>368</v>
      </c>
      <c r="X13" s="467" t="s">
        <v>370</v>
      </c>
      <c r="Y13" s="467" t="s">
        <v>372</v>
      </c>
      <c r="Z13" s="467" t="s">
        <v>375</v>
      </c>
    </row>
    <row r="14" spans="1:26" ht="11.25">
      <c r="A14" s="482"/>
      <c r="B14" s="467" t="s">
        <v>348</v>
      </c>
      <c r="C14" s="495">
        <v>39</v>
      </c>
      <c r="D14" s="496">
        <f t="shared" si="0"/>
        <v>0.06046511627906977</v>
      </c>
      <c r="E14" s="496">
        <f>C14/(total-q15an)</f>
        <v>0.0609375</v>
      </c>
      <c r="F14" s="482"/>
      <c r="G14" s="465"/>
      <c r="H14" s="465"/>
      <c r="I14" s="465"/>
      <c r="J14" s="465"/>
      <c r="K14" s="468"/>
      <c r="N14" s="467" t="s">
        <v>423</v>
      </c>
      <c r="O14" s="496">
        <f>E11</f>
        <v>0.128125</v>
      </c>
      <c r="P14" s="496">
        <f>E18</f>
        <v>0.11737089201877934</v>
      </c>
      <c r="Q14" s="496">
        <f>E26</f>
        <v>0.2378716744913928</v>
      </c>
      <c r="R14" s="498">
        <f>E33</f>
        <v>0.06739811912225706</v>
      </c>
      <c r="S14" s="498">
        <f>E40</f>
        <v>0.10518053375196232</v>
      </c>
      <c r="T14" s="498">
        <f>E55</f>
        <v>0.15023474178403756</v>
      </c>
      <c r="U14" s="498">
        <f>E62</f>
        <v>0.17739403453689168</v>
      </c>
      <c r="V14" s="498">
        <f>E69</f>
        <v>0.1674491392801252</v>
      </c>
      <c r="W14" s="498">
        <f>E76</f>
        <v>0.11267605633802817</v>
      </c>
      <c r="X14" s="498">
        <f>E83</f>
        <v>0.20722135007849293</v>
      </c>
      <c r="Y14" s="498">
        <f>E90</f>
        <v>0.24882629107981222</v>
      </c>
      <c r="Z14" s="498">
        <f>E105</f>
        <v>0.13615023474178403</v>
      </c>
    </row>
    <row r="15" spans="1:26" ht="11.25">
      <c r="A15" s="482"/>
      <c r="B15" s="467" t="s">
        <v>349</v>
      </c>
      <c r="C15" s="495">
        <v>9</v>
      </c>
      <c r="D15" s="496">
        <f t="shared" si="0"/>
        <v>0.013953488372093023</v>
      </c>
      <c r="E15" s="496">
        <f>C15/(total-q15an)</f>
        <v>0.0140625</v>
      </c>
      <c r="F15" s="482"/>
      <c r="G15" s="465"/>
      <c r="H15" s="465"/>
      <c r="I15" s="465"/>
      <c r="J15" s="465"/>
      <c r="K15" s="468"/>
      <c r="N15" s="467" t="s">
        <v>424</v>
      </c>
      <c r="O15" s="496">
        <f>E12</f>
        <v>0.5046875</v>
      </c>
      <c r="P15" s="496">
        <f>E19</f>
        <v>0.36932707355242567</v>
      </c>
      <c r="Q15" s="496">
        <f>E27</f>
        <v>0.3865414710485133</v>
      </c>
      <c r="R15" s="498">
        <f>E34</f>
        <v>0.19592476489028213</v>
      </c>
      <c r="S15" s="498">
        <f>E41</f>
        <v>0.315541601255887</v>
      </c>
      <c r="T15" s="498">
        <f>E56</f>
        <v>0.4788732394366197</v>
      </c>
      <c r="U15" s="498">
        <f>E63</f>
        <v>0.49293563579277866</v>
      </c>
      <c r="V15" s="498">
        <f>E70</f>
        <v>0.47104851330203446</v>
      </c>
      <c r="W15" s="498">
        <f>E77</f>
        <v>0.39123630672926446</v>
      </c>
      <c r="X15" s="498">
        <f>E84</f>
        <v>0.3924646781789639</v>
      </c>
      <c r="Y15" s="498">
        <f>E91</f>
        <v>0.41784037558685444</v>
      </c>
      <c r="Z15" s="498">
        <f>E106</f>
        <v>0.37871674491392804</v>
      </c>
    </row>
    <row r="16" spans="1:26" ht="11.25">
      <c r="A16" s="499"/>
      <c r="B16" s="500" t="s">
        <v>18</v>
      </c>
      <c r="C16" s="501">
        <v>5</v>
      </c>
      <c r="D16" s="502">
        <f t="shared" si="0"/>
        <v>0.007751937984496124</v>
      </c>
      <c r="E16" s="503" t="s">
        <v>19</v>
      </c>
      <c r="F16" s="482"/>
      <c r="G16" s="465"/>
      <c r="H16" s="465"/>
      <c r="I16" s="465"/>
      <c r="J16" s="465"/>
      <c r="K16" s="468"/>
      <c r="N16" s="467" t="s">
        <v>425</v>
      </c>
      <c r="O16" s="496">
        <f>E13</f>
        <v>0.2921875</v>
      </c>
      <c r="P16" s="496">
        <f>E20</f>
        <v>0.3348982785602504</v>
      </c>
      <c r="Q16" s="496">
        <f>E28</f>
        <v>0.2676056338028169</v>
      </c>
      <c r="R16" s="498">
        <f>E35</f>
        <v>0.3777429467084639</v>
      </c>
      <c r="S16" s="498">
        <f>E42</f>
        <v>0.34065934065934067</v>
      </c>
      <c r="T16" s="498">
        <f>E57</f>
        <v>0.2863849765258216</v>
      </c>
      <c r="U16" s="498">
        <f>E64</f>
        <v>0.25588697017268447</v>
      </c>
      <c r="V16" s="498">
        <f>E71</f>
        <v>0.27230046948356806</v>
      </c>
      <c r="W16" s="498">
        <f>E78</f>
        <v>0.3302034428794992</v>
      </c>
      <c r="X16" s="498">
        <f>E85</f>
        <v>0.25588697017268447</v>
      </c>
      <c r="Y16" s="498">
        <f>E92</f>
        <v>0.22848200312989045</v>
      </c>
      <c r="Z16" s="498">
        <f>E107</f>
        <v>0.3051643192488263</v>
      </c>
    </row>
    <row r="17" spans="1:26" ht="11.25">
      <c r="A17" s="504" t="s">
        <v>350</v>
      </c>
      <c r="B17" s="467" t="s">
        <v>351</v>
      </c>
      <c r="C17" s="495"/>
      <c r="D17" s="496"/>
      <c r="E17" s="505"/>
      <c r="F17" s="482"/>
      <c r="G17" s="465"/>
      <c r="H17" s="465"/>
      <c r="I17" s="465"/>
      <c r="J17" s="465"/>
      <c r="K17" s="468"/>
      <c r="N17" s="467" t="s">
        <v>426</v>
      </c>
      <c r="O17" s="496">
        <f>E14</f>
        <v>0.0609375</v>
      </c>
      <c r="P17" s="496">
        <f>E21</f>
        <v>0.12050078247261346</v>
      </c>
      <c r="Q17" s="496">
        <f>E29</f>
        <v>0.0782472613458529</v>
      </c>
      <c r="R17" s="498">
        <f>E36</f>
        <v>0.219435736677116</v>
      </c>
      <c r="S17" s="498">
        <f>E43</f>
        <v>0.15698587127158556</v>
      </c>
      <c r="T17" s="498">
        <f>E58</f>
        <v>0.06416275430359937</v>
      </c>
      <c r="U17" s="498">
        <f>E65</f>
        <v>0.0565149136577708</v>
      </c>
      <c r="V17" s="498">
        <f>E72</f>
        <v>0.07042253521126761</v>
      </c>
      <c r="W17" s="498">
        <f>E79</f>
        <v>0.107981220657277</v>
      </c>
      <c r="X17" s="498">
        <f>E86</f>
        <v>0.09576138147566719</v>
      </c>
      <c r="Y17" s="498">
        <f>E93</f>
        <v>0.06885758998435054</v>
      </c>
      <c r="Z17" s="498">
        <f>E108</f>
        <v>0.13302034428794993</v>
      </c>
    </row>
    <row r="18" spans="1:26" ht="11.25">
      <c r="A18" s="482"/>
      <c r="B18" s="467" t="s">
        <v>345</v>
      </c>
      <c r="C18" s="495">
        <v>75</v>
      </c>
      <c r="D18" s="496">
        <f aca="true" t="shared" si="1" ref="D18:D23">C18/total</f>
        <v>0.11627906976744186</v>
      </c>
      <c r="E18" s="496">
        <f>C18/(total-q15bn)</f>
        <v>0.11737089201877934</v>
      </c>
      <c r="F18" s="482"/>
      <c r="G18" s="465"/>
      <c r="H18" s="465"/>
      <c r="I18" s="465"/>
      <c r="J18" s="465"/>
      <c r="K18" s="468"/>
      <c r="N18" s="467" t="s">
        <v>427</v>
      </c>
      <c r="O18" s="496">
        <f>E15</f>
        <v>0.0140625</v>
      </c>
      <c r="P18" s="496">
        <f>E22</f>
        <v>0.057902973395931145</v>
      </c>
      <c r="Q18" s="496">
        <f>E30</f>
        <v>0.0297339593114241</v>
      </c>
      <c r="R18" s="498">
        <f>E37</f>
        <v>0.13949843260188088</v>
      </c>
      <c r="S18" s="498">
        <f>E44</f>
        <v>0.08163265306122448</v>
      </c>
      <c r="T18" s="498">
        <f>E59</f>
        <v>0.02034428794992175</v>
      </c>
      <c r="U18" s="498">
        <f>E66</f>
        <v>0.01726844583987441</v>
      </c>
      <c r="V18" s="498">
        <f>E73</f>
        <v>0.018779342723004695</v>
      </c>
      <c r="W18" s="498">
        <f>E80</f>
        <v>0.057902973395931145</v>
      </c>
      <c r="X18" s="498">
        <f>E87</f>
        <v>0.04866562009419152</v>
      </c>
      <c r="Y18" s="498">
        <f>E94</f>
        <v>0.03599374021909233</v>
      </c>
      <c r="Z18" s="498">
        <f>E109</f>
        <v>0.046948356807511735</v>
      </c>
    </row>
    <row r="19" spans="1:15" ht="11.25">
      <c r="A19" s="482"/>
      <c r="B19" s="467" t="s">
        <v>346</v>
      </c>
      <c r="C19" s="495">
        <v>236</v>
      </c>
      <c r="D19" s="496">
        <f t="shared" si="1"/>
        <v>0.36589147286821705</v>
      </c>
      <c r="E19" s="496">
        <f>C19/(total-q15bn)</f>
        <v>0.36932707355242567</v>
      </c>
      <c r="F19" s="482"/>
      <c r="G19" s="465"/>
      <c r="H19" s="465"/>
      <c r="I19" s="465"/>
      <c r="J19" s="465"/>
      <c r="K19" s="468"/>
      <c r="N19" s="500"/>
      <c r="O19" s="496"/>
    </row>
    <row r="20" spans="1:11" ht="11.25">
      <c r="A20" s="482"/>
      <c r="B20" s="467" t="s">
        <v>347</v>
      </c>
      <c r="C20" s="495">
        <v>214</v>
      </c>
      <c r="D20" s="496">
        <f t="shared" si="1"/>
        <v>0.33178294573643413</v>
      </c>
      <c r="E20" s="496">
        <f>C20/(total-q15bn)</f>
        <v>0.3348982785602504</v>
      </c>
      <c r="F20" s="482"/>
      <c r="G20" s="465"/>
      <c r="H20" s="465"/>
      <c r="I20" s="465"/>
      <c r="J20" s="465"/>
      <c r="K20" s="468"/>
    </row>
    <row r="21" spans="1:11" ht="11.25">
      <c r="A21" s="482"/>
      <c r="B21" s="467" t="s">
        <v>348</v>
      </c>
      <c r="C21" s="495">
        <v>77</v>
      </c>
      <c r="D21" s="496">
        <f t="shared" si="1"/>
        <v>0.11937984496124031</v>
      </c>
      <c r="E21" s="496">
        <f>C21/(total-q15bn)</f>
        <v>0.12050078247261346</v>
      </c>
      <c r="F21" s="482"/>
      <c r="G21" s="465"/>
      <c r="H21" s="465"/>
      <c r="I21" s="465"/>
      <c r="J21" s="465"/>
      <c r="K21" s="468"/>
    </row>
    <row r="22" spans="1:26" ht="11.25">
      <c r="A22" s="482"/>
      <c r="B22" s="467" t="s">
        <v>349</v>
      </c>
      <c r="C22" s="495">
        <v>37</v>
      </c>
      <c r="D22" s="496">
        <f t="shared" si="1"/>
        <v>0.05736434108527132</v>
      </c>
      <c r="E22" s="496">
        <f>C22/(total-q15bn)</f>
        <v>0.057902973395931145</v>
      </c>
      <c r="F22" s="482"/>
      <c r="G22" s="465"/>
      <c r="H22" s="465"/>
      <c r="I22" s="465"/>
      <c r="J22" s="465"/>
      <c r="K22" s="468"/>
      <c r="O22" s="498">
        <f aca="true" t="shared" si="2" ref="O22:Z22">SUM(O14:O16)</f>
        <v>0.925</v>
      </c>
      <c r="P22" s="498">
        <f t="shared" si="2"/>
        <v>0.8215962441314555</v>
      </c>
      <c r="Q22" s="498">
        <f t="shared" si="2"/>
        <v>0.8920187793427229</v>
      </c>
      <c r="R22" s="498">
        <f t="shared" si="2"/>
        <v>0.6410658307210031</v>
      </c>
      <c r="S22" s="498">
        <f t="shared" si="2"/>
        <v>0.7613814756671899</v>
      </c>
      <c r="T22" s="498">
        <f t="shared" si="2"/>
        <v>0.9154929577464789</v>
      </c>
      <c r="U22" s="498">
        <f t="shared" si="2"/>
        <v>0.9262166405023549</v>
      </c>
      <c r="V22" s="498">
        <f t="shared" si="2"/>
        <v>0.9107981220657277</v>
      </c>
      <c r="W22" s="498">
        <f t="shared" si="2"/>
        <v>0.8341158059467918</v>
      </c>
      <c r="X22" s="498">
        <f t="shared" si="2"/>
        <v>0.8555729984301413</v>
      </c>
      <c r="Y22" s="498">
        <f t="shared" si="2"/>
        <v>0.895148669796557</v>
      </c>
      <c r="Z22" s="498">
        <f t="shared" si="2"/>
        <v>0.8200312989045384</v>
      </c>
    </row>
    <row r="23" spans="1:11" ht="11.25">
      <c r="A23" s="499"/>
      <c r="B23" s="500" t="s">
        <v>18</v>
      </c>
      <c r="C23" s="501">
        <v>6</v>
      </c>
      <c r="D23" s="502">
        <f t="shared" si="1"/>
        <v>0.009302325581395349</v>
      </c>
      <c r="E23" s="503" t="s">
        <v>19</v>
      </c>
      <c r="F23" s="482"/>
      <c r="G23" s="465"/>
      <c r="H23" s="465"/>
      <c r="I23" s="465"/>
      <c r="J23" s="465"/>
      <c r="K23" s="468"/>
    </row>
    <row r="24" spans="1:11" ht="11.25">
      <c r="A24" s="504" t="s">
        <v>352</v>
      </c>
      <c r="B24" s="467" t="s">
        <v>353</v>
      </c>
      <c r="C24" s="495"/>
      <c r="D24" s="496"/>
      <c r="E24" s="505"/>
      <c r="F24" s="482"/>
      <c r="G24" s="465"/>
      <c r="H24" s="465"/>
      <c r="I24" s="465"/>
      <c r="J24" s="465"/>
      <c r="K24" s="468"/>
    </row>
    <row r="25" spans="1:11" ht="11.25">
      <c r="A25" s="504"/>
      <c r="B25" s="506" t="s">
        <v>354</v>
      </c>
      <c r="C25" s="495"/>
      <c r="D25" s="496"/>
      <c r="E25" s="505"/>
      <c r="F25" s="482"/>
      <c r="G25" s="465"/>
      <c r="H25" s="465"/>
      <c r="I25" s="465"/>
      <c r="J25" s="465"/>
      <c r="K25" s="468"/>
    </row>
    <row r="26" spans="1:11" ht="11.25">
      <c r="A26" s="482"/>
      <c r="B26" s="467" t="s">
        <v>345</v>
      </c>
      <c r="C26" s="495">
        <v>152</v>
      </c>
      <c r="D26" s="496">
        <f aca="true" t="shared" si="3" ref="D26:D31">C26/total</f>
        <v>0.23565891472868217</v>
      </c>
      <c r="E26" s="496">
        <f>C26/(total-q15cn)</f>
        <v>0.2378716744913928</v>
      </c>
      <c r="F26" s="482"/>
      <c r="G26" s="465"/>
      <c r="H26" s="465"/>
      <c r="I26" s="465"/>
      <c r="J26" s="465"/>
      <c r="K26" s="468"/>
    </row>
    <row r="27" spans="1:11" ht="11.25">
      <c r="A27" s="482"/>
      <c r="B27" s="467" t="s">
        <v>346</v>
      </c>
      <c r="C27" s="495">
        <v>247</v>
      </c>
      <c r="D27" s="496">
        <f t="shared" si="3"/>
        <v>0.3829457364341085</v>
      </c>
      <c r="E27" s="496">
        <f>C27/(total-q15cn)</f>
        <v>0.3865414710485133</v>
      </c>
      <c r="F27" s="482"/>
      <c r="G27" s="465"/>
      <c r="H27" s="465"/>
      <c r="I27" s="465"/>
      <c r="J27" s="465"/>
      <c r="K27" s="468"/>
    </row>
    <row r="28" spans="1:11" ht="11.25">
      <c r="A28" s="482"/>
      <c r="B28" s="467" t="s">
        <v>347</v>
      </c>
      <c r="C28" s="495">
        <v>171</v>
      </c>
      <c r="D28" s="496">
        <f t="shared" si="3"/>
        <v>0.2651162790697674</v>
      </c>
      <c r="E28" s="496">
        <f>C28/(total-q15cn)</f>
        <v>0.2676056338028169</v>
      </c>
      <c r="F28" s="482"/>
      <c r="G28" s="465"/>
      <c r="H28" s="465"/>
      <c r="I28" s="465"/>
      <c r="J28" s="465"/>
      <c r="K28" s="468"/>
    </row>
    <row r="29" spans="1:11" ht="11.25">
      <c r="A29" s="482"/>
      <c r="B29" s="467" t="s">
        <v>348</v>
      </c>
      <c r="C29" s="495">
        <v>50</v>
      </c>
      <c r="D29" s="496">
        <f t="shared" si="3"/>
        <v>0.07751937984496124</v>
      </c>
      <c r="E29" s="496">
        <f>C29/(total-q15cn)</f>
        <v>0.0782472613458529</v>
      </c>
      <c r="F29" s="482"/>
      <c r="G29" s="465"/>
      <c r="H29" s="465"/>
      <c r="I29" s="465"/>
      <c r="J29" s="465"/>
      <c r="K29" s="468"/>
    </row>
    <row r="30" spans="1:11" ht="11.25">
      <c r="A30" s="482"/>
      <c r="B30" s="467" t="s">
        <v>349</v>
      </c>
      <c r="C30" s="495">
        <v>19</v>
      </c>
      <c r="D30" s="496">
        <f t="shared" si="3"/>
        <v>0.02945736434108527</v>
      </c>
      <c r="E30" s="496">
        <f>C30/(total-q15cn)</f>
        <v>0.0297339593114241</v>
      </c>
      <c r="F30" s="482"/>
      <c r="G30" s="465"/>
      <c r="H30" s="465"/>
      <c r="I30" s="465"/>
      <c r="J30" s="465"/>
      <c r="K30" s="468"/>
    </row>
    <row r="31" spans="1:11" ht="11.25">
      <c r="A31" s="499"/>
      <c r="B31" s="500" t="s">
        <v>18</v>
      </c>
      <c r="C31" s="501">
        <v>6</v>
      </c>
      <c r="D31" s="502">
        <f t="shared" si="3"/>
        <v>0.009302325581395349</v>
      </c>
      <c r="E31" s="503" t="s">
        <v>19</v>
      </c>
      <c r="F31" s="482"/>
      <c r="G31" s="465"/>
      <c r="H31" s="465"/>
      <c r="I31" s="465"/>
      <c r="J31" s="465"/>
      <c r="K31" s="468"/>
    </row>
    <row r="32" spans="1:11" ht="11.25">
      <c r="A32" s="504" t="s">
        <v>355</v>
      </c>
      <c r="B32" s="467" t="s">
        <v>356</v>
      </c>
      <c r="C32" s="495"/>
      <c r="D32" s="496"/>
      <c r="E32" s="505"/>
      <c r="F32" s="482"/>
      <c r="G32" s="465"/>
      <c r="H32" s="465"/>
      <c r="I32" s="465"/>
      <c r="J32" s="465"/>
      <c r="K32" s="468"/>
    </row>
    <row r="33" spans="1:11" ht="11.25">
      <c r="A33" s="482"/>
      <c r="B33" s="467" t="s">
        <v>345</v>
      </c>
      <c r="C33" s="495">
        <v>43</v>
      </c>
      <c r="D33" s="496">
        <f aca="true" t="shared" si="4" ref="D33:D38">C33/total</f>
        <v>0.06666666666666667</v>
      </c>
      <c r="E33" s="496">
        <f>C33/(total-q15dn)</f>
        <v>0.06739811912225706</v>
      </c>
      <c r="F33" s="482"/>
      <c r="G33" s="465"/>
      <c r="H33" s="465"/>
      <c r="I33" s="465"/>
      <c r="J33" s="465"/>
      <c r="K33" s="468"/>
    </row>
    <row r="34" spans="1:11" ht="11.25">
      <c r="A34" s="482"/>
      <c r="B34" s="467" t="s">
        <v>346</v>
      </c>
      <c r="C34" s="495">
        <v>125</v>
      </c>
      <c r="D34" s="496">
        <f t="shared" si="4"/>
        <v>0.1937984496124031</v>
      </c>
      <c r="E34" s="496">
        <f>C34/(total-q15dn)</f>
        <v>0.19592476489028213</v>
      </c>
      <c r="F34" s="482"/>
      <c r="G34" s="465"/>
      <c r="H34" s="465"/>
      <c r="I34" s="465"/>
      <c r="J34" s="465"/>
      <c r="K34" s="468"/>
    </row>
    <row r="35" spans="1:11" ht="11.25">
      <c r="A35" s="482"/>
      <c r="B35" s="467" t="s">
        <v>347</v>
      </c>
      <c r="C35" s="495">
        <v>241</v>
      </c>
      <c r="D35" s="496">
        <f t="shared" si="4"/>
        <v>0.3736434108527132</v>
      </c>
      <c r="E35" s="496">
        <f>C35/(total-q15dn)</f>
        <v>0.3777429467084639</v>
      </c>
      <c r="F35" s="482"/>
      <c r="G35" s="465"/>
      <c r="H35" s="465"/>
      <c r="I35" s="465"/>
      <c r="J35" s="465"/>
      <c r="K35" s="468"/>
    </row>
    <row r="36" spans="1:11" ht="11.25">
      <c r="A36" s="482"/>
      <c r="B36" s="467" t="s">
        <v>348</v>
      </c>
      <c r="C36" s="495">
        <v>140</v>
      </c>
      <c r="D36" s="496">
        <f t="shared" si="4"/>
        <v>0.21705426356589147</v>
      </c>
      <c r="E36" s="496">
        <f>C36/(total-q15dn)</f>
        <v>0.219435736677116</v>
      </c>
      <c r="F36" s="482"/>
      <c r="G36" s="465"/>
      <c r="H36" s="465"/>
      <c r="I36" s="465"/>
      <c r="J36" s="465"/>
      <c r="K36" s="468"/>
    </row>
    <row r="37" spans="1:11" ht="11.25">
      <c r="A37" s="482"/>
      <c r="B37" s="467" t="s">
        <v>349</v>
      </c>
      <c r="C37" s="495">
        <v>89</v>
      </c>
      <c r="D37" s="496">
        <f t="shared" si="4"/>
        <v>0.13798449612403102</v>
      </c>
      <c r="E37" s="496">
        <f>C37/(total-q15dn)</f>
        <v>0.13949843260188088</v>
      </c>
      <c r="F37" s="482"/>
      <c r="G37" s="465"/>
      <c r="H37" s="465"/>
      <c r="I37" s="465"/>
      <c r="J37" s="465"/>
      <c r="K37" s="468"/>
    </row>
    <row r="38" spans="1:11" ht="11.25">
      <c r="A38" s="499"/>
      <c r="B38" s="500" t="s">
        <v>18</v>
      </c>
      <c r="C38" s="501">
        <v>7</v>
      </c>
      <c r="D38" s="502">
        <f t="shared" si="4"/>
        <v>0.010852713178294573</v>
      </c>
      <c r="E38" s="503" t="s">
        <v>19</v>
      </c>
      <c r="F38" s="482"/>
      <c r="G38" s="465"/>
      <c r="H38" s="465"/>
      <c r="I38" s="465"/>
      <c r="J38" s="465"/>
      <c r="K38" s="468"/>
    </row>
    <row r="39" spans="1:11" ht="11.25">
      <c r="A39" s="504" t="s">
        <v>357</v>
      </c>
      <c r="B39" s="467" t="s">
        <v>358</v>
      </c>
      <c r="C39" s="495"/>
      <c r="D39" s="496"/>
      <c r="E39" s="505"/>
      <c r="F39" s="482"/>
      <c r="G39" s="465"/>
      <c r="H39" s="465"/>
      <c r="I39" s="465"/>
      <c r="J39" s="465"/>
      <c r="K39" s="468"/>
    </row>
    <row r="40" spans="1:11" ht="11.25">
      <c r="A40" s="482"/>
      <c r="B40" s="467" t="s">
        <v>345</v>
      </c>
      <c r="C40" s="495">
        <v>67</v>
      </c>
      <c r="D40" s="496">
        <f aca="true" t="shared" si="5" ref="D40:D45">C40/total</f>
        <v>0.10387596899224806</v>
      </c>
      <c r="E40" s="496">
        <f>C40/(total-q15en)</f>
        <v>0.10518053375196232</v>
      </c>
      <c r="F40" s="482"/>
      <c r="G40" s="465"/>
      <c r="H40" s="465"/>
      <c r="I40" s="465"/>
      <c r="J40" s="465"/>
      <c r="K40" s="468"/>
    </row>
    <row r="41" spans="1:11" ht="11.25">
      <c r="A41" s="482"/>
      <c r="B41" s="467" t="s">
        <v>346</v>
      </c>
      <c r="C41" s="495">
        <v>201</v>
      </c>
      <c r="D41" s="496">
        <f t="shared" si="5"/>
        <v>0.3116279069767442</v>
      </c>
      <c r="E41" s="496">
        <f>C41/(total-q15en)</f>
        <v>0.315541601255887</v>
      </c>
      <c r="F41" s="482"/>
      <c r="G41" s="465"/>
      <c r="H41" s="465"/>
      <c r="I41" s="465"/>
      <c r="J41" s="465"/>
      <c r="K41" s="468"/>
    </row>
    <row r="42" spans="1:13" ht="9.75" customHeight="1">
      <c r="A42" s="482"/>
      <c r="B42" s="467" t="s">
        <v>347</v>
      </c>
      <c r="C42" s="495">
        <v>217</v>
      </c>
      <c r="D42" s="496">
        <f t="shared" si="5"/>
        <v>0.3364341085271318</v>
      </c>
      <c r="E42" s="496">
        <f>C42/(total-q15en)</f>
        <v>0.34065934065934067</v>
      </c>
      <c r="F42" s="482"/>
      <c r="G42" s="465"/>
      <c r="H42" s="465"/>
      <c r="I42" s="465"/>
      <c r="J42" s="465"/>
      <c r="K42" s="468"/>
      <c r="M42" s="465"/>
    </row>
    <row r="43" spans="1:13" ht="11.25">
      <c r="A43" s="482"/>
      <c r="B43" s="467" t="s">
        <v>348</v>
      </c>
      <c r="C43" s="495">
        <v>100</v>
      </c>
      <c r="D43" s="496">
        <f t="shared" si="5"/>
        <v>0.15503875968992248</v>
      </c>
      <c r="E43" s="496">
        <f>C43/(total-q15en)</f>
        <v>0.15698587127158556</v>
      </c>
      <c r="F43" s="482"/>
      <c r="G43" s="465"/>
      <c r="H43" s="465"/>
      <c r="I43" s="465"/>
      <c r="J43" s="465"/>
      <c r="K43" s="468"/>
      <c r="M43" s="465"/>
    </row>
    <row r="44" spans="1:11" ht="11.25">
      <c r="A44" s="482"/>
      <c r="B44" s="467" t="s">
        <v>349</v>
      </c>
      <c r="C44" s="495">
        <v>52</v>
      </c>
      <c r="D44" s="496">
        <f t="shared" si="5"/>
        <v>0.08062015503875969</v>
      </c>
      <c r="E44" s="496">
        <f>C44/(total-q15en)</f>
        <v>0.08163265306122448</v>
      </c>
      <c r="F44" s="482"/>
      <c r="G44" s="465"/>
      <c r="H44" s="465"/>
      <c r="I44" s="465"/>
      <c r="J44" s="465"/>
      <c r="K44" s="468"/>
    </row>
    <row r="45" spans="1:11" ht="11.25">
      <c r="A45" s="499"/>
      <c r="B45" s="500" t="s">
        <v>18</v>
      </c>
      <c r="C45" s="501">
        <v>8</v>
      </c>
      <c r="D45" s="502">
        <f t="shared" si="5"/>
        <v>0.012403100775193798</v>
      </c>
      <c r="E45" s="507" t="s">
        <v>19</v>
      </c>
      <c r="F45" s="499"/>
      <c r="G45" s="508"/>
      <c r="H45" s="508"/>
      <c r="I45" s="508"/>
      <c r="J45" s="508"/>
      <c r="K45" s="509"/>
    </row>
    <row r="46" spans="1:11" ht="1.5" customHeight="1">
      <c r="A46" s="482"/>
      <c r="B46" s="467"/>
      <c r="C46" s="467"/>
      <c r="D46" s="496"/>
      <c r="E46" s="483"/>
      <c r="F46" s="465"/>
      <c r="G46" s="465"/>
      <c r="H46" s="465"/>
      <c r="I46" s="465"/>
      <c r="J46" s="465"/>
      <c r="K46" s="468"/>
    </row>
    <row r="47" spans="1:11" ht="12.75">
      <c r="A47" s="458" t="s">
        <v>337</v>
      </c>
      <c r="B47" s="459"/>
      <c r="C47" s="460"/>
      <c r="D47" s="510"/>
      <c r="E47" s="510"/>
      <c r="F47" s="461"/>
      <c r="G47" s="461"/>
      <c r="H47" s="461"/>
      <c r="I47" s="461"/>
      <c r="J47" s="461"/>
      <c r="K47" s="462" t="s">
        <v>359</v>
      </c>
    </row>
    <row r="48" spans="1:11" ht="12.75">
      <c r="A48" s="464" t="s">
        <v>313</v>
      </c>
      <c r="B48" s="465"/>
      <c r="C48" s="466"/>
      <c r="D48" s="466"/>
      <c r="E48" s="466"/>
      <c r="F48" s="467"/>
      <c r="G48" s="467"/>
      <c r="H48" s="467"/>
      <c r="I48" s="467"/>
      <c r="J48" s="467"/>
      <c r="K48" s="468"/>
    </row>
    <row r="49" spans="1:11" ht="12.75">
      <c r="A49" s="6" t="s">
        <v>339</v>
      </c>
      <c r="B49" s="465"/>
      <c r="C49" s="466"/>
      <c r="D49" s="466"/>
      <c r="E49" s="466"/>
      <c r="F49" s="467"/>
      <c r="G49" s="467"/>
      <c r="H49" s="467"/>
      <c r="I49" s="467"/>
      <c r="J49" s="467"/>
      <c r="K49" s="468"/>
    </row>
    <row r="50" spans="1:15" ht="12.75">
      <c r="A50" s="469" t="s">
        <v>340</v>
      </c>
      <c r="B50" s="470"/>
      <c r="C50" s="470"/>
      <c r="D50" s="470"/>
      <c r="E50" s="470"/>
      <c r="F50" s="470"/>
      <c r="G50" s="470"/>
      <c r="H50" s="471"/>
      <c r="I50" s="471"/>
      <c r="J50" s="471"/>
      <c r="K50" s="472"/>
      <c r="L50" s="473"/>
      <c r="M50" s="474"/>
      <c r="N50" s="473"/>
      <c r="O50" s="473"/>
    </row>
    <row r="51" spans="1:18" ht="11.25">
      <c r="A51" s="475"/>
      <c r="B51" s="476"/>
      <c r="C51" s="475"/>
      <c r="D51" s="477" t="s">
        <v>5</v>
      </c>
      <c r="E51" s="477" t="s">
        <v>5</v>
      </c>
      <c r="F51" s="478"/>
      <c r="G51" s="459"/>
      <c r="H51" s="477"/>
      <c r="I51" s="477"/>
      <c r="J51" s="477"/>
      <c r="K51" s="479"/>
      <c r="L51" s="474"/>
      <c r="M51" s="474"/>
      <c r="N51" s="474"/>
      <c r="O51" s="474"/>
      <c r="P51" s="474"/>
      <c r="Q51" s="474"/>
      <c r="R51" s="474"/>
    </row>
    <row r="52" spans="1:19" ht="12.75">
      <c r="A52" s="480"/>
      <c r="B52" s="481" t="s">
        <v>360</v>
      </c>
      <c r="C52" s="482"/>
      <c r="D52" s="483" t="s">
        <v>7</v>
      </c>
      <c r="E52" s="483" t="s">
        <v>8</v>
      </c>
      <c r="F52" s="482"/>
      <c r="G52" s="465"/>
      <c r="H52" s="483"/>
      <c r="I52" s="483"/>
      <c r="J52" s="483"/>
      <c r="K52" s="484"/>
      <c r="L52" s="474"/>
      <c r="M52" s="474"/>
      <c r="N52" s="474"/>
      <c r="O52" s="474"/>
      <c r="P52" s="474"/>
      <c r="Q52" s="474"/>
      <c r="R52" s="474"/>
      <c r="S52" s="474"/>
    </row>
    <row r="53" spans="1:18" ht="11.25">
      <c r="A53" s="485"/>
      <c r="B53" s="486"/>
      <c r="C53" s="487" t="s">
        <v>9</v>
      </c>
      <c r="D53" s="488" t="s">
        <v>10</v>
      </c>
      <c r="E53" s="488" t="s">
        <v>10</v>
      </c>
      <c r="F53" s="482"/>
      <c r="G53" s="465"/>
      <c r="H53" s="483"/>
      <c r="I53" s="483"/>
      <c r="J53" s="483"/>
      <c r="K53" s="484"/>
      <c r="L53" s="474"/>
      <c r="M53" s="474"/>
      <c r="N53" s="474"/>
      <c r="O53" s="474"/>
      <c r="P53" s="474"/>
      <c r="Q53" s="474"/>
      <c r="R53" s="474"/>
    </row>
    <row r="54" spans="1:11" ht="11.25">
      <c r="A54" s="504" t="s">
        <v>361</v>
      </c>
      <c r="B54" s="467" t="s">
        <v>362</v>
      </c>
      <c r="C54" s="495"/>
      <c r="D54" s="496"/>
      <c r="E54" s="505"/>
      <c r="F54" s="482"/>
      <c r="G54" s="465"/>
      <c r="H54" s="465"/>
      <c r="I54" s="465"/>
      <c r="J54" s="465"/>
      <c r="K54" s="468"/>
    </row>
    <row r="55" spans="1:11" ht="11.25">
      <c r="A55" s="482"/>
      <c r="B55" s="467" t="s">
        <v>345</v>
      </c>
      <c r="C55" s="495">
        <v>96</v>
      </c>
      <c r="D55" s="496">
        <f aca="true" t="shared" si="6" ref="D55:D60">C55/total</f>
        <v>0.14883720930232558</v>
      </c>
      <c r="E55" s="496">
        <f>C55/(total-q15fn)</f>
        <v>0.15023474178403756</v>
      </c>
      <c r="F55" s="482"/>
      <c r="G55" s="465"/>
      <c r="H55" s="465"/>
      <c r="I55" s="465"/>
      <c r="J55" s="465"/>
      <c r="K55" s="468"/>
    </row>
    <row r="56" spans="1:11" ht="11.25">
      <c r="A56" s="482"/>
      <c r="B56" s="467" t="s">
        <v>346</v>
      </c>
      <c r="C56" s="495">
        <v>306</v>
      </c>
      <c r="D56" s="496">
        <f t="shared" si="6"/>
        <v>0.4744186046511628</v>
      </c>
      <c r="E56" s="496">
        <f>C56/(total-q15fn)</f>
        <v>0.4788732394366197</v>
      </c>
      <c r="F56" s="482"/>
      <c r="G56" s="465"/>
      <c r="H56" s="465"/>
      <c r="I56" s="465"/>
      <c r="J56" s="465"/>
      <c r="K56" s="468"/>
    </row>
    <row r="57" spans="1:11" ht="11.25">
      <c r="A57" s="482"/>
      <c r="B57" s="467" t="s">
        <v>347</v>
      </c>
      <c r="C57" s="495">
        <v>183</v>
      </c>
      <c r="D57" s="496">
        <f t="shared" si="6"/>
        <v>0.2837209302325581</v>
      </c>
      <c r="E57" s="496">
        <f>C57/(total-q15fn)</f>
        <v>0.2863849765258216</v>
      </c>
      <c r="F57" s="482"/>
      <c r="G57" s="465"/>
      <c r="H57" s="465"/>
      <c r="I57" s="465"/>
      <c r="J57" s="465"/>
      <c r="K57" s="468"/>
    </row>
    <row r="58" spans="1:11" ht="11.25">
      <c r="A58" s="482"/>
      <c r="B58" s="467" t="s">
        <v>348</v>
      </c>
      <c r="C58" s="495">
        <v>41</v>
      </c>
      <c r="D58" s="496">
        <f t="shared" si="6"/>
        <v>0.06356589147286822</v>
      </c>
      <c r="E58" s="496">
        <f>C58/(total-q15fn)</f>
        <v>0.06416275430359937</v>
      </c>
      <c r="F58" s="482"/>
      <c r="G58" s="465"/>
      <c r="H58" s="465"/>
      <c r="I58" s="465"/>
      <c r="J58" s="465"/>
      <c r="K58" s="468"/>
    </row>
    <row r="59" spans="1:11" ht="11.25">
      <c r="A59" s="482"/>
      <c r="B59" s="467" t="s">
        <v>349</v>
      </c>
      <c r="C59" s="495">
        <v>13</v>
      </c>
      <c r="D59" s="496">
        <f t="shared" si="6"/>
        <v>0.020155038759689922</v>
      </c>
      <c r="E59" s="496">
        <f>C59/(total-q15fn)</f>
        <v>0.02034428794992175</v>
      </c>
      <c r="F59" s="482"/>
      <c r="G59" s="465"/>
      <c r="H59" s="465"/>
      <c r="I59" s="465"/>
      <c r="J59" s="465"/>
      <c r="K59" s="468"/>
    </row>
    <row r="60" spans="1:11" ht="11.25">
      <c r="A60" s="499"/>
      <c r="B60" s="500" t="s">
        <v>18</v>
      </c>
      <c r="C60" s="501">
        <v>6</v>
      </c>
      <c r="D60" s="502">
        <f t="shared" si="6"/>
        <v>0.009302325581395349</v>
      </c>
      <c r="E60" s="503" t="s">
        <v>19</v>
      </c>
      <c r="F60" s="482"/>
      <c r="G60" s="465"/>
      <c r="H60" s="465"/>
      <c r="I60" s="465"/>
      <c r="J60" s="465"/>
      <c r="K60" s="468"/>
    </row>
    <row r="61" spans="1:11" ht="11.25">
      <c r="A61" s="504" t="s">
        <v>363</v>
      </c>
      <c r="B61" s="467" t="s">
        <v>364</v>
      </c>
      <c r="C61" s="495"/>
      <c r="D61" s="496"/>
      <c r="E61" s="505"/>
      <c r="F61" s="482"/>
      <c r="G61" s="465"/>
      <c r="H61" s="465"/>
      <c r="I61" s="465"/>
      <c r="J61" s="465"/>
      <c r="K61" s="468"/>
    </row>
    <row r="62" spans="1:11" ht="11.25">
      <c r="A62" s="482"/>
      <c r="B62" s="467" t="s">
        <v>345</v>
      </c>
      <c r="C62" s="495">
        <v>113</v>
      </c>
      <c r="D62" s="496">
        <f aca="true" t="shared" si="7" ref="D62:D67">C62/total</f>
        <v>0.17519379844961241</v>
      </c>
      <c r="E62" s="496">
        <f>C62/(total-q15gn)</f>
        <v>0.17739403453689168</v>
      </c>
      <c r="F62" s="482"/>
      <c r="G62" s="465"/>
      <c r="H62" s="465"/>
      <c r="I62" s="465"/>
      <c r="J62" s="465"/>
      <c r="K62" s="468"/>
    </row>
    <row r="63" spans="1:11" ht="11.25">
      <c r="A63" s="482"/>
      <c r="B63" s="467" t="s">
        <v>346</v>
      </c>
      <c r="C63" s="495">
        <v>314</v>
      </c>
      <c r="D63" s="496">
        <f t="shared" si="7"/>
        <v>0.4868217054263566</v>
      </c>
      <c r="E63" s="496">
        <f>C63/(total-q15gn)</f>
        <v>0.49293563579277866</v>
      </c>
      <c r="F63" s="482"/>
      <c r="G63" s="465"/>
      <c r="H63" s="465"/>
      <c r="I63" s="465"/>
      <c r="J63" s="465"/>
      <c r="K63" s="468"/>
    </row>
    <row r="64" spans="1:11" ht="11.25">
      <c r="A64" s="482"/>
      <c r="B64" s="467" t="s">
        <v>347</v>
      </c>
      <c r="C64" s="495">
        <v>163</v>
      </c>
      <c r="D64" s="496">
        <f t="shared" si="7"/>
        <v>0.2527131782945736</v>
      </c>
      <c r="E64" s="496">
        <f>C64/(total-q15gn)</f>
        <v>0.25588697017268447</v>
      </c>
      <c r="F64" s="482"/>
      <c r="G64" s="465"/>
      <c r="H64" s="465"/>
      <c r="I64" s="465"/>
      <c r="J64" s="465"/>
      <c r="K64" s="468"/>
    </row>
    <row r="65" spans="1:11" ht="11.25">
      <c r="A65" s="482"/>
      <c r="B65" s="467" t="s">
        <v>348</v>
      </c>
      <c r="C65" s="495">
        <v>36</v>
      </c>
      <c r="D65" s="496">
        <f t="shared" si="7"/>
        <v>0.05581395348837209</v>
      </c>
      <c r="E65" s="496">
        <f>C65/(total-q15gn)</f>
        <v>0.0565149136577708</v>
      </c>
      <c r="F65" s="482"/>
      <c r="G65" s="465"/>
      <c r="H65" s="465"/>
      <c r="I65" s="465"/>
      <c r="J65" s="465"/>
      <c r="K65" s="468"/>
    </row>
    <row r="66" spans="1:11" ht="11.25">
      <c r="A66" s="482"/>
      <c r="B66" s="467" t="s">
        <v>349</v>
      </c>
      <c r="C66" s="495">
        <v>11</v>
      </c>
      <c r="D66" s="496">
        <f t="shared" si="7"/>
        <v>0.017054263565891473</v>
      </c>
      <c r="E66" s="496">
        <f>C66/(total-q15gn)</f>
        <v>0.01726844583987441</v>
      </c>
      <c r="F66" s="482"/>
      <c r="G66" s="465"/>
      <c r="H66" s="465"/>
      <c r="I66" s="465"/>
      <c r="J66" s="465"/>
      <c r="K66" s="468"/>
    </row>
    <row r="67" spans="1:11" ht="11.25">
      <c r="A67" s="499"/>
      <c r="B67" s="500" t="s">
        <v>18</v>
      </c>
      <c r="C67" s="501">
        <v>8</v>
      </c>
      <c r="D67" s="502">
        <f t="shared" si="7"/>
        <v>0.012403100775193798</v>
      </c>
      <c r="E67" s="503" t="s">
        <v>19</v>
      </c>
      <c r="F67" s="482"/>
      <c r="G67" s="465"/>
      <c r="H67" s="465"/>
      <c r="I67" s="465"/>
      <c r="J67" s="465"/>
      <c r="K67" s="468"/>
    </row>
    <row r="68" spans="1:11" ht="11.25">
      <c r="A68" s="504" t="s">
        <v>365</v>
      </c>
      <c r="B68" s="467" t="s">
        <v>366</v>
      </c>
      <c r="C68" s="495"/>
      <c r="D68" s="496"/>
      <c r="E68" s="505"/>
      <c r="F68" s="482"/>
      <c r="G68" s="465"/>
      <c r="H68" s="465"/>
      <c r="I68" s="465"/>
      <c r="J68" s="465"/>
      <c r="K68" s="468"/>
    </row>
    <row r="69" spans="1:11" ht="11.25">
      <c r="A69" s="482"/>
      <c r="B69" s="467" t="s">
        <v>345</v>
      </c>
      <c r="C69" s="495">
        <v>107</v>
      </c>
      <c r="D69" s="496">
        <f aca="true" t="shared" si="8" ref="D69:D74">C69/total</f>
        <v>0.16589147286821707</v>
      </c>
      <c r="E69" s="496">
        <f>C69/(total-q15hn)</f>
        <v>0.1674491392801252</v>
      </c>
      <c r="F69" s="482"/>
      <c r="G69" s="465"/>
      <c r="H69" s="465"/>
      <c r="I69" s="465"/>
      <c r="J69" s="465"/>
      <c r="K69" s="468"/>
    </row>
    <row r="70" spans="1:11" ht="11.25">
      <c r="A70" s="482"/>
      <c r="B70" s="467" t="s">
        <v>346</v>
      </c>
      <c r="C70" s="495">
        <v>301</v>
      </c>
      <c r="D70" s="496">
        <f t="shared" si="8"/>
        <v>0.4666666666666667</v>
      </c>
      <c r="E70" s="496">
        <f>C70/(total-q15hn)</f>
        <v>0.47104851330203446</v>
      </c>
      <c r="F70" s="482"/>
      <c r="G70" s="465"/>
      <c r="H70" s="465"/>
      <c r="I70" s="465"/>
      <c r="J70" s="465"/>
      <c r="K70" s="468"/>
    </row>
    <row r="71" spans="1:11" ht="11.25">
      <c r="A71" s="482"/>
      <c r="B71" s="467" t="s">
        <v>347</v>
      </c>
      <c r="C71" s="495">
        <v>174</v>
      </c>
      <c r="D71" s="496">
        <f t="shared" si="8"/>
        <v>0.26976744186046514</v>
      </c>
      <c r="E71" s="496">
        <f>C71/(total-q15hn)</f>
        <v>0.27230046948356806</v>
      </c>
      <c r="F71" s="482"/>
      <c r="G71" s="465"/>
      <c r="H71" s="465"/>
      <c r="I71" s="465"/>
      <c r="J71" s="465"/>
      <c r="K71" s="468"/>
    </row>
    <row r="72" spans="1:11" ht="11.25">
      <c r="A72" s="482"/>
      <c r="B72" s="467" t="s">
        <v>348</v>
      </c>
      <c r="C72" s="495">
        <v>45</v>
      </c>
      <c r="D72" s="496">
        <f t="shared" si="8"/>
        <v>0.06976744186046512</v>
      </c>
      <c r="E72" s="496">
        <f>C72/(total-q15hn)</f>
        <v>0.07042253521126761</v>
      </c>
      <c r="F72" s="482"/>
      <c r="G72" s="465"/>
      <c r="H72" s="465"/>
      <c r="I72" s="465"/>
      <c r="J72" s="465"/>
      <c r="K72" s="468"/>
    </row>
    <row r="73" spans="1:11" ht="11.25">
      <c r="A73" s="482"/>
      <c r="B73" s="467" t="s">
        <v>349</v>
      </c>
      <c r="C73" s="495">
        <v>12</v>
      </c>
      <c r="D73" s="496">
        <f t="shared" si="8"/>
        <v>0.018604651162790697</v>
      </c>
      <c r="E73" s="496">
        <f>C73/(total-q15hn)</f>
        <v>0.018779342723004695</v>
      </c>
      <c r="F73" s="482"/>
      <c r="G73" s="465"/>
      <c r="H73" s="465"/>
      <c r="I73" s="465"/>
      <c r="J73" s="465"/>
      <c r="K73" s="468"/>
    </row>
    <row r="74" spans="1:11" ht="11.25">
      <c r="A74" s="499"/>
      <c r="B74" s="500" t="s">
        <v>18</v>
      </c>
      <c r="C74" s="501">
        <v>6</v>
      </c>
      <c r="D74" s="502">
        <f t="shared" si="8"/>
        <v>0.009302325581395349</v>
      </c>
      <c r="E74" s="503" t="s">
        <v>19</v>
      </c>
      <c r="F74" s="482"/>
      <c r="G74" s="465"/>
      <c r="H74" s="465"/>
      <c r="I74" s="465"/>
      <c r="J74" s="465"/>
      <c r="K74" s="468"/>
    </row>
    <row r="75" spans="1:11" ht="11.25">
      <c r="A75" s="504" t="s">
        <v>367</v>
      </c>
      <c r="B75" s="467" t="s">
        <v>368</v>
      </c>
      <c r="C75" s="495"/>
      <c r="D75" s="496"/>
      <c r="E75" s="505"/>
      <c r="F75" s="482"/>
      <c r="G75" s="465"/>
      <c r="H75" s="465"/>
      <c r="I75" s="465"/>
      <c r="J75" s="465"/>
      <c r="K75" s="468"/>
    </row>
    <row r="76" spans="1:11" ht="11.25">
      <c r="A76" s="482"/>
      <c r="B76" s="467" t="s">
        <v>345</v>
      </c>
      <c r="C76" s="495">
        <v>72</v>
      </c>
      <c r="D76" s="496">
        <f aca="true" t="shared" si="9" ref="D76:D81">C76/total</f>
        <v>0.11162790697674418</v>
      </c>
      <c r="E76" s="496">
        <f>C76/(total-q15in)</f>
        <v>0.11267605633802817</v>
      </c>
      <c r="F76" s="482"/>
      <c r="G76" s="465"/>
      <c r="H76" s="465"/>
      <c r="I76" s="465"/>
      <c r="J76" s="465"/>
      <c r="K76" s="468"/>
    </row>
    <row r="77" spans="1:11" ht="11.25">
      <c r="A77" s="482"/>
      <c r="B77" s="467" t="s">
        <v>346</v>
      </c>
      <c r="C77" s="495">
        <v>250</v>
      </c>
      <c r="D77" s="496">
        <f t="shared" si="9"/>
        <v>0.3875968992248062</v>
      </c>
      <c r="E77" s="496">
        <f>C77/(total-q15in)</f>
        <v>0.39123630672926446</v>
      </c>
      <c r="F77" s="482"/>
      <c r="G77" s="465"/>
      <c r="H77" s="465"/>
      <c r="I77" s="465"/>
      <c r="J77" s="465"/>
      <c r="K77" s="468"/>
    </row>
    <row r="78" spans="1:11" ht="11.25">
      <c r="A78" s="482"/>
      <c r="B78" s="467" t="s">
        <v>347</v>
      </c>
      <c r="C78" s="495">
        <v>211</v>
      </c>
      <c r="D78" s="496">
        <f t="shared" si="9"/>
        <v>0.3271317829457364</v>
      </c>
      <c r="E78" s="496">
        <f>C78/(total-q15in)</f>
        <v>0.3302034428794992</v>
      </c>
      <c r="F78" s="482"/>
      <c r="G78" s="465"/>
      <c r="H78" s="465"/>
      <c r="I78" s="465"/>
      <c r="J78" s="465"/>
      <c r="K78" s="468"/>
    </row>
    <row r="79" spans="1:11" ht="11.25">
      <c r="A79" s="482"/>
      <c r="B79" s="467" t="s">
        <v>348</v>
      </c>
      <c r="C79" s="495">
        <v>69</v>
      </c>
      <c r="D79" s="496">
        <f t="shared" si="9"/>
        <v>0.10697674418604651</v>
      </c>
      <c r="E79" s="496">
        <f>C79/(total-q15in)</f>
        <v>0.107981220657277</v>
      </c>
      <c r="F79" s="482"/>
      <c r="G79" s="465"/>
      <c r="H79" s="465"/>
      <c r="I79" s="465"/>
      <c r="J79" s="465"/>
      <c r="K79" s="468"/>
    </row>
    <row r="80" spans="1:11" ht="11.25">
      <c r="A80" s="482"/>
      <c r="B80" s="467" t="s">
        <v>349</v>
      </c>
      <c r="C80" s="495">
        <v>37</v>
      </c>
      <c r="D80" s="496">
        <f t="shared" si="9"/>
        <v>0.05736434108527132</v>
      </c>
      <c r="E80" s="496">
        <f>C80/(total-q15in)</f>
        <v>0.057902973395931145</v>
      </c>
      <c r="F80" s="482"/>
      <c r="G80" s="465"/>
      <c r="H80" s="465"/>
      <c r="I80" s="465"/>
      <c r="J80" s="465"/>
      <c r="K80" s="468"/>
    </row>
    <row r="81" spans="1:11" ht="11.25">
      <c r="A81" s="499"/>
      <c r="B81" s="500" t="s">
        <v>18</v>
      </c>
      <c r="C81" s="501">
        <v>6</v>
      </c>
      <c r="D81" s="502">
        <f t="shared" si="9"/>
        <v>0.009302325581395349</v>
      </c>
      <c r="E81" s="503" t="s">
        <v>19</v>
      </c>
      <c r="F81" s="482"/>
      <c r="G81" s="465"/>
      <c r="H81" s="465"/>
      <c r="I81" s="465"/>
      <c r="J81" s="465"/>
      <c r="K81" s="468"/>
    </row>
    <row r="82" spans="1:11" ht="11.25">
      <c r="A82" s="504" t="s">
        <v>369</v>
      </c>
      <c r="B82" s="467" t="s">
        <v>370</v>
      </c>
      <c r="C82" s="495"/>
      <c r="D82" s="496"/>
      <c r="E82" s="505"/>
      <c r="F82" s="482"/>
      <c r="G82" s="465"/>
      <c r="H82" s="465"/>
      <c r="I82" s="465"/>
      <c r="J82" s="465"/>
      <c r="K82" s="468"/>
    </row>
    <row r="83" spans="1:11" ht="11.25">
      <c r="A83" s="482"/>
      <c r="B83" s="467" t="s">
        <v>345</v>
      </c>
      <c r="C83" s="495">
        <v>132</v>
      </c>
      <c r="D83" s="496">
        <f aca="true" t="shared" si="10" ref="D83:D88">C83/total</f>
        <v>0.20465116279069767</v>
      </c>
      <c r="E83" s="496">
        <f>C83/(total-q15jn)</f>
        <v>0.20722135007849293</v>
      </c>
      <c r="F83" s="482"/>
      <c r="G83" s="465"/>
      <c r="H83" s="465"/>
      <c r="I83" s="465"/>
      <c r="J83" s="465"/>
      <c r="K83" s="468"/>
    </row>
    <row r="84" spans="1:11" ht="11.25">
      <c r="A84" s="482"/>
      <c r="B84" s="467" t="s">
        <v>346</v>
      </c>
      <c r="C84" s="495">
        <v>250</v>
      </c>
      <c r="D84" s="496">
        <f t="shared" si="10"/>
        <v>0.3875968992248062</v>
      </c>
      <c r="E84" s="496">
        <f>C84/(total-q15jn)</f>
        <v>0.3924646781789639</v>
      </c>
      <c r="F84" s="482"/>
      <c r="G84" s="465"/>
      <c r="H84" s="465"/>
      <c r="I84" s="465"/>
      <c r="J84" s="465"/>
      <c r="K84" s="468"/>
    </row>
    <row r="85" spans="1:11" ht="11.25">
      <c r="A85" s="482"/>
      <c r="B85" s="467" t="s">
        <v>347</v>
      </c>
      <c r="C85" s="495">
        <v>163</v>
      </c>
      <c r="D85" s="496">
        <f t="shared" si="10"/>
        <v>0.2527131782945736</v>
      </c>
      <c r="E85" s="496">
        <f>C85/(total-q15jn)</f>
        <v>0.25588697017268447</v>
      </c>
      <c r="F85" s="482"/>
      <c r="G85" s="465"/>
      <c r="H85" s="465"/>
      <c r="I85" s="465"/>
      <c r="J85" s="465"/>
      <c r="K85" s="468"/>
    </row>
    <row r="86" spans="1:11" ht="11.25">
      <c r="A86" s="482"/>
      <c r="B86" s="467" t="s">
        <v>348</v>
      </c>
      <c r="C86" s="495">
        <v>61</v>
      </c>
      <c r="D86" s="496">
        <f t="shared" si="10"/>
        <v>0.09457364341085271</v>
      </c>
      <c r="E86" s="496">
        <f>C86/(total-q15jn)</f>
        <v>0.09576138147566719</v>
      </c>
      <c r="F86" s="482"/>
      <c r="G86" s="465"/>
      <c r="H86" s="465"/>
      <c r="I86" s="465"/>
      <c r="J86" s="465"/>
      <c r="K86" s="468"/>
    </row>
    <row r="87" spans="1:11" ht="11.25">
      <c r="A87" s="482"/>
      <c r="B87" s="467" t="s">
        <v>349</v>
      </c>
      <c r="C87" s="495">
        <v>31</v>
      </c>
      <c r="D87" s="496">
        <f t="shared" si="10"/>
        <v>0.04806201550387597</v>
      </c>
      <c r="E87" s="496">
        <f>C87/(total-q15jn)</f>
        <v>0.04866562009419152</v>
      </c>
      <c r="F87" s="482"/>
      <c r="G87" s="465"/>
      <c r="H87" s="465"/>
      <c r="I87" s="465"/>
      <c r="J87" s="465"/>
      <c r="K87" s="468"/>
    </row>
    <row r="88" spans="1:11" ht="11.25">
      <c r="A88" s="499"/>
      <c r="B88" s="500" t="s">
        <v>18</v>
      </c>
      <c r="C88" s="501">
        <v>8</v>
      </c>
      <c r="D88" s="502">
        <f t="shared" si="10"/>
        <v>0.012403100775193798</v>
      </c>
      <c r="E88" s="503" t="s">
        <v>19</v>
      </c>
      <c r="F88" s="482"/>
      <c r="G88" s="465"/>
      <c r="H88" s="465"/>
      <c r="I88" s="465"/>
      <c r="J88" s="465"/>
      <c r="K88" s="468"/>
    </row>
    <row r="89" spans="1:11" ht="11.25">
      <c r="A89" s="504" t="s">
        <v>371</v>
      </c>
      <c r="B89" s="467" t="s">
        <v>372</v>
      </c>
      <c r="C89" s="495"/>
      <c r="D89" s="496"/>
      <c r="E89" s="505"/>
      <c r="F89" s="482"/>
      <c r="G89" s="465"/>
      <c r="H89" s="465"/>
      <c r="I89" s="465"/>
      <c r="J89" s="465"/>
      <c r="K89" s="468"/>
    </row>
    <row r="90" spans="1:11" ht="11.25">
      <c r="A90" s="482"/>
      <c r="B90" s="467" t="s">
        <v>345</v>
      </c>
      <c r="C90" s="495">
        <v>159</v>
      </c>
      <c r="D90" s="496">
        <f aca="true" t="shared" si="11" ref="D90:D95">C90/total</f>
        <v>0.24651162790697675</v>
      </c>
      <c r="E90" s="496">
        <f>C90/(total-q15kn)</f>
        <v>0.24882629107981222</v>
      </c>
      <c r="F90" s="482"/>
      <c r="G90" s="465"/>
      <c r="H90" s="465"/>
      <c r="I90" s="465"/>
      <c r="J90" s="465"/>
      <c r="K90" s="468"/>
    </row>
    <row r="91" spans="1:11" ht="11.25">
      <c r="A91" s="482"/>
      <c r="B91" s="467" t="s">
        <v>346</v>
      </c>
      <c r="C91" s="495">
        <v>267</v>
      </c>
      <c r="D91" s="496">
        <f t="shared" si="11"/>
        <v>0.413953488372093</v>
      </c>
      <c r="E91" s="496">
        <f>C91/(total-q15kn)</f>
        <v>0.41784037558685444</v>
      </c>
      <c r="F91" s="482"/>
      <c r="G91" s="465"/>
      <c r="H91" s="465"/>
      <c r="I91" s="465"/>
      <c r="J91" s="465"/>
      <c r="K91" s="468"/>
    </row>
    <row r="92" spans="1:11" ht="11.25">
      <c r="A92" s="482"/>
      <c r="B92" s="467" t="s">
        <v>347</v>
      </c>
      <c r="C92" s="495">
        <v>146</v>
      </c>
      <c r="D92" s="496">
        <f t="shared" si="11"/>
        <v>0.22635658914728682</v>
      </c>
      <c r="E92" s="496">
        <f>C92/(total-q15kn)</f>
        <v>0.22848200312989045</v>
      </c>
      <c r="F92" s="482"/>
      <c r="G92" s="465"/>
      <c r="H92" s="465"/>
      <c r="I92" s="465"/>
      <c r="J92" s="465"/>
      <c r="K92" s="468"/>
    </row>
    <row r="93" spans="1:11" ht="11.25">
      <c r="A93" s="482"/>
      <c r="B93" s="467" t="s">
        <v>348</v>
      </c>
      <c r="C93" s="495">
        <v>44</v>
      </c>
      <c r="D93" s="496">
        <f t="shared" si="11"/>
        <v>0.06821705426356589</v>
      </c>
      <c r="E93" s="496">
        <f>C93/(total-q15kn)</f>
        <v>0.06885758998435054</v>
      </c>
      <c r="F93" s="482"/>
      <c r="G93" s="465"/>
      <c r="H93" s="465"/>
      <c r="I93" s="465"/>
      <c r="J93" s="465"/>
      <c r="K93" s="468"/>
    </row>
    <row r="94" spans="1:11" ht="11.25">
      <c r="A94" s="482"/>
      <c r="B94" s="467" t="s">
        <v>349</v>
      </c>
      <c r="C94" s="495">
        <v>23</v>
      </c>
      <c r="D94" s="496">
        <f t="shared" si="11"/>
        <v>0.03565891472868217</v>
      </c>
      <c r="E94" s="496">
        <f>C94/(total-q15kn)</f>
        <v>0.03599374021909233</v>
      </c>
      <c r="F94" s="482"/>
      <c r="G94" s="465"/>
      <c r="H94" s="465"/>
      <c r="I94" s="465"/>
      <c r="J94" s="465"/>
      <c r="K94" s="468"/>
    </row>
    <row r="95" spans="1:11" ht="11.25">
      <c r="A95" s="499"/>
      <c r="B95" s="500" t="s">
        <v>18</v>
      </c>
      <c r="C95" s="501">
        <v>6</v>
      </c>
      <c r="D95" s="502">
        <f t="shared" si="11"/>
        <v>0.009302325581395349</v>
      </c>
      <c r="E95" s="507" t="s">
        <v>19</v>
      </c>
      <c r="F95" s="499"/>
      <c r="G95" s="508"/>
      <c r="H95" s="508"/>
      <c r="I95" s="508"/>
      <c r="J95" s="508"/>
      <c r="K95" s="509"/>
    </row>
    <row r="96" spans="1:11" ht="1.5" customHeight="1">
      <c r="A96" s="482"/>
      <c r="B96" s="467"/>
      <c r="C96" s="467"/>
      <c r="D96" s="496"/>
      <c r="E96" s="483"/>
      <c r="F96" s="465"/>
      <c r="G96" s="465"/>
      <c r="H96" s="465"/>
      <c r="I96" s="465"/>
      <c r="J96" s="465"/>
      <c r="K96" s="468"/>
    </row>
    <row r="97" spans="1:11" ht="12.75">
      <c r="A97" s="458" t="s">
        <v>337</v>
      </c>
      <c r="B97" s="459"/>
      <c r="C97" s="460"/>
      <c r="D97" s="510"/>
      <c r="E97" s="510"/>
      <c r="F97" s="461"/>
      <c r="G97" s="461"/>
      <c r="H97" s="461"/>
      <c r="I97" s="461"/>
      <c r="J97" s="461"/>
      <c r="K97" s="462" t="s">
        <v>373</v>
      </c>
    </row>
    <row r="98" spans="1:11" ht="12.75">
      <c r="A98" s="464" t="s">
        <v>313</v>
      </c>
      <c r="B98" s="465"/>
      <c r="C98" s="466"/>
      <c r="D98" s="466"/>
      <c r="E98" s="466"/>
      <c r="F98" s="467"/>
      <c r="G98" s="467"/>
      <c r="H98" s="467"/>
      <c r="I98" s="467"/>
      <c r="J98" s="467"/>
      <c r="K98" s="468"/>
    </row>
    <row r="99" spans="1:11" ht="12.75">
      <c r="A99" s="6" t="s">
        <v>339</v>
      </c>
      <c r="B99" s="465"/>
      <c r="C99" s="466"/>
      <c r="D99" s="466"/>
      <c r="E99" s="466"/>
      <c r="F99" s="467"/>
      <c r="G99" s="467"/>
      <c r="H99" s="467"/>
      <c r="I99" s="467"/>
      <c r="J99" s="467"/>
      <c r="K99" s="468"/>
    </row>
    <row r="100" spans="1:15" ht="12.75">
      <c r="A100" s="469" t="s">
        <v>340</v>
      </c>
      <c r="B100" s="470"/>
      <c r="C100" s="470"/>
      <c r="D100" s="470"/>
      <c r="E100" s="470"/>
      <c r="F100" s="470"/>
      <c r="G100" s="470"/>
      <c r="H100" s="471"/>
      <c r="I100" s="471"/>
      <c r="J100" s="471"/>
      <c r="K100" s="472"/>
      <c r="L100" s="473"/>
      <c r="M100" s="474"/>
      <c r="N100" s="473"/>
      <c r="O100" s="473"/>
    </row>
    <row r="101" spans="1:18" ht="11.25">
      <c r="A101" s="475"/>
      <c r="B101" s="476"/>
      <c r="C101" s="475"/>
      <c r="D101" s="477" t="s">
        <v>5</v>
      </c>
      <c r="E101" s="477" t="s">
        <v>5</v>
      </c>
      <c r="F101" s="478"/>
      <c r="G101" s="459"/>
      <c r="H101" s="477"/>
      <c r="I101" s="477"/>
      <c r="J101" s="477"/>
      <c r="K101" s="479"/>
      <c r="L101" s="474"/>
      <c r="M101" s="474"/>
      <c r="N101" s="474"/>
      <c r="O101" s="474"/>
      <c r="P101" s="474"/>
      <c r="Q101" s="474"/>
      <c r="R101" s="474"/>
    </row>
    <row r="102" spans="1:19" ht="12.75">
      <c r="A102" s="480"/>
      <c r="B102" s="481" t="s">
        <v>360</v>
      </c>
      <c r="C102" s="482"/>
      <c r="D102" s="483" t="s">
        <v>7</v>
      </c>
      <c r="E102" s="483" t="s">
        <v>8</v>
      </c>
      <c r="F102" s="482"/>
      <c r="G102" s="465"/>
      <c r="H102" s="483"/>
      <c r="I102" s="483"/>
      <c r="J102" s="483"/>
      <c r="K102" s="484"/>
      <c r="L102" s="474"/>
      <c r="M102" s="474"/>
      <c r="N102" s="474"/>
      <c r="O102" s="474"/>
      <c r="P102" s="474"/>
      <c r="Q102" s="474"/>
      <c r="R102" s="474"/>
      <c r="S102" s="474"/>
    </row>
    <row r="103" spans="1:18" ht="11.25">
      <c r="A103" s="485"/>
      <c r="B103" s="486"/>
      <c r="C103" s="487" t="s">
        <v>9</v>
      </c>
      <c r="D103" s="488" t="s">
        <v>10</v>
      </c>
      <c r="E103" s="488" t="s">
        <v>10</v>
      </c>
      <c r="F103" s="482"/>
      <c r="G103" s="465"/>
      <c r="H103" s="483"/>
      <c r="I103" s="483"/>
      <c r="J103" s="483"/>
      <c r="K103" s="484"/>
      <c r="L103" s="474"/>
      <c r="M103" s="474"/>
      <c r="N103" s="474"/>
      <c r="O103" s="474"/>
      <c r="P103" s="474"/>
      <c r="Q103" s="474"/>
      <c r="R103" s="474"/>
    </row>
    <row r="104" spans="1:11" ht="11.25">
      <c r="A104" s="504" t="s">
        <v>374</v>
      </c>
      <c r="B104" s="467" t="s">
        <v>375</v>
      </c>
      <c r="C104" s="495"/>
      <c r="D104" s="496"/>
      <c r="E104" s="505"/>
      <c r="F104" s="482"/>
      <c r="G104" s="465"/>
      <c r="H104" s="465"/>
      <c r="I104" s="465"/>
      <c r="J104" s="465"/>
      <c r="K104" s="468"/>
    </row>
    <row r="105" spans="1:11" ht="11.25">
      <c r="A105" s="482"/>
      <c r="B105" s="467" t="s">
        <v>345</v>
      </c>
      <c r="C105" s="495">
        <v>87</v>
      </c>
      <c r="D105" s="496">
        <f aca="true" t="shared" si="12" ref="D105:D110">C105/total</f>
        <v>0.13488372093023257</v>
      </c>
      <c r="E105" s="496">
        <f>C105/(total-q15ln)</f>
        <v>0.13615023474178403</v>
      </c>
      <c r="F105" s="482"/>
      <c r="G105" s="465"/>
      <c r="H105" s="465"/>
      <c r="I105" s="465"/>
      <c r="J105" s="465"/>
      <c r="K105" s="468"/>
    </row>
    <row r="106" spans="1:11" ht="11.25">
      <c r="A106" s="482"/>
      <c r="B106" s="467" t="s">
        <v>346</v>
      </c>
      <c r="C106" s="495">
        <v>242</v>
      </c>
      <c r="D106" s="496">
        <f t="shared" si="12"/>
        <v>0.3751937984496124</v>
      </c>
      <c r="E106" s="496">
        <f>C106/(total-q15ln)</f>
        <v>0.37871674491392804</v>
      </c>
      <c r="F106" s="482"/>
      <c r="G106" s="465"/>
      <c r="H106" s="465"/>
      <c r="I106" s="465"/>
      <c r="J106" s="465"/>
      <c r="K106" s="468"/>
    </row>
    <row r="107" spans="1:11" ht="11.25">
      <c r="A107" s="482"/>
      <c r="B107" s="467" t="s">
        <v>347</v>
      </c>
      <c r="C107" s="495">
        <v>195</v>
      </c>
      <c r="D107" s="496">
        <f t="shared" si="12"/>
        <v>0.3023255813953488</v>
      </c>
      <c r="E107" s="496">
        <f>C107/(total-q15ln)</f>
        <v>0.3051643192488263</v>
      </c>
      <c r="F107" s="482"/>
      <c r="G107" s="465"/>
      <c r="H107" s="465"/>
      <c r="I107" s="465"/>
      <c r="J107" s="465"/>
      <c r="K107" s="468"/>
    </row>
    <row r="108" spans="1:11" ht="11.25">
      <c r="A108" s="482"/>
      <c r="B108" s="467" t="s">
        <v>348</v>
      </c>
      <c r="C108" s="495">
        <v>85</v>
      </c>
      <c r="D108" s="496">
        <f t="shared" si="12"/>
        <v>0.13178294573643412</v>
      </c>
      <c r="E108" s="496">
        <f>C108/(total-q15ln)</f>
        <v>0.13302034428794993</v>
      </c>
      <c r="F108" s="482"/>
      <c r="G108" s="465"/>
      <c r="H108" s="465"/>
      <c r="I108" s="465"/>
      <c r="J108" s="465"/>
      <c r="K108" s="468"/>
    </row>
    <row r="109" spans="1:11" ht="11.25">
      <c r="A109" s="482"/>
      <c r="B109" s="467" t="s">
        <v>349</v>
      </c>
      <c r="C109" s="495">
        <v>30</v>
      </c>
      <c r="D109" s="496">
        <f t="shared" si="12"/>
        <v>0.046511627906976744</v>
      </c>
      <c r="E109" s="496">
        <f>C109/(total-q15ln)</f>
        <v>0.046948356807511735</v>
      </c>
      <c r="F109" s="482"/>
      <c r="G109" s="465"/>
      <c r="H109" s="465"/>
      <c r="I109" s="465"/>
      <c r="J109" s="465"/>
      <c r="K109" s="468"/>
    </row>
    <row r="110" spans="1:11" ht="11.25">
      <c r="A110" s="485"/>
      <c r="B110" s="471" t="s">
        <v>18</v>
      </c>
      <c r="C110" s="511">
        <v>6</v>
      </c>
      <c r="D110" s="512">
        <f t="shared" si="12"/>
        <v>0.009302325581395349</v>
      </c>
      <c r="E110" s="513" t="s">
        <v>19</v>
      </c>
      <c r="F110" s="482"/>
      <c r="G110" s="465"/>
      <c r="H110" s="465"/>
      <c r="I110" s="465"/>
      <c r="J110" s="465"/>
      <c r="K110" s="468"/>
    </row>
    <row r="111" spans="1:11" ht="11.25">
      <c r="A111" s="514" t="s">
        <v>376</v>
      </c>
      <c r="B111" s="515" t="s">
        <v>377</v>
      </c>
      <c r="C111" s="475"/>
      <c r="D111" s="516"/>
      <c r="E111" s="517"/>
      <c r="F111" s="482"/>
      <c r="G111" s="465"/>
      <c r="H111" s="465"/>
      <c r="I111" s="465"/>
      <c r="J111" s="465"/>
      <c r="K111" s="468"/>
    </row>
    <row r="112" spans="1:11" ht="11.25">
      <c r="A112" s="482"/>
      <c r="B112" s="518" t="s">
        <v>378</v>
      </c>
      <c r="C112" s="495">
        <v>122</v>
      </c>
      <c r="D112" s="496">
        <f aca="true" t="shared" si="13" ref="D112:D117">C112/total</f>
        <v>0.18914728682170542</v>
      </c>
      <c r="E112" s="496">
        <f>C112/(total-q16n)</f>
        <v>0.19152276295133439</v>
      </c>
      <c r="F112" s="482"/>
      <c r="G112" s="465"/>
      <c r="H112" s="465"/>
      <c r="I112" s="465"/>
      <c r="J112" s="465"/>
      <c r="K112" s="468"/>
    </row>
    <row r="113" spans="1:11" ht="11.25">
      <c r="A113" s="482"/>
      <c r="B113" s="518" t="s">
        <v>379</v>
      </c>
      <c r="C113" s="495">
        <v>327</v>
      </c>
      <c r="D113" s="496">
        <f t="shared" si="13"/>
        <v>0.5069767441860465</v>
      </c>
      <c r="E113" s="496">
        <f>C113/(total-q16n)</f>
        <v>0.5133437990580848</v>
      </c>
      <c r="F113" s="482"/>
      <c r="G113" s="465"/>
      <c r="H113" s="465"/>
      <c r="I113" s="465"/>
      <c r="J113" s="465"/>
      <c r="K113" s="468"/>
    </row>
    <row r="114" spans="1:11" ht="11.25">
      <c r="A114" s="482"/>
      <c r="B114" s="518" t="s">
        <v>380</v>
      </c>
      <c r="C114" s="495">
        <v>142</v>
      </c>
      <c r="D114" s="496">
        <f t="shared" si="13"/>
        <v>0.22015503875968992</v>
      </c>
      <c r="E114" s="496">
        <f>C114/(total-q16n)</f>
        <v>0.22291993720565148</v>
      </c>
      <c r="F114" s="482"/>
      <c r="G114" s="465"/>
      <c r="H114" s="465"/>
      <c r="I114" s="465"/>
      <c r="J114" s="465"/>
      <c r="K114" s="468"/>
    </row>
    <row r="115" spans="1:11" ht="11.25">
      <c r="A115" s="482"/>
      <c r="B115" s="518" t="s">
        <v>381</v>
      </c>
      <c r="C115" s="495">
        <v>39</v>
      </c>
      <c r="D115" s="496">
        <f t="shared" si="13"/>
        <v>0.06046511627906977</v>
      </c>
      <c r="E115" s="496">
        <f>C115/(total-q16n)</f>
        <v>0.061224489795918366</v>
      </c>
      <c r="F115" s="482"/>
      <c r="G115" s="465"/>
      <c r="H115" s="465"/>
      <c r="I115" s="465"/>
      <c r="J115" s="465"/>
      <c r="K115" s="468"/>
    </row>
    <row r="116" spans="1:11" ht="11.25">
      <c r="A116" s="482"/>
      <c r="B116" s="518" t="s">
        <v>382</v>
      </c>
      <c r="C116" s="495">
        <v>7</v>
      </c>
      <c r="D116" s="496">
        <f t="shared" si="13"/>
        <v>0.010852713178294573</v>
      </c>
      <c r="E116" s="496">
        <f>C116/(total-q16n)</f>
        <v>0.01098901098901099</v>
      </c>
      <c r="F116" s="482"/>
      <c r="G116" s="465"/>
      <c r="H116" s="465"/>
      <c r="I116" s="465"/>
      <c r="J116" s="465"/>
      <c r="K116" s="468"/>
    </row>
    <row r="117" spans="1:11" ht="11.25">
      <c r="A117" s="485"/>
      <c r="B117" s="472" t="s">
        <v>18</v>
      </c>
      <c r="C117" s="511">
        <v>8</v>
      </c>
      <c r="D117" s="512">
        <f t="shared" si="13"/>
        <v>0.012403100775193798</v>
      </c>
      <c r="E117" s="488" t="s">
        <v>19</v>
      </c>
      <c r="F117" s="482"/>
      <c r="G117" s="465"/>
      <c r="H117" s="465"/>
      <c r="I117" s="465"/>
      <c r="J117" s="465"/>
      <c r="K117" s="468"/>
    </row>
    <row r="118" spans="1:11" ht="11.25">
      <c r="A118" s="514" t="s">
        <v>383</v>
      </c>
      <c r="B118" s="515" t="s">
        <v>384</v>
      </c>
      <c r="C118" s="475"/>
      <c r="D118" s="516"/>
      <c r="E118" s="517"/>
      <c r="F118" s="482"/>
      <c r="G118" s="465"/>
      <c r="H118" s="465"/>
      <c r="I118" s="465"/>
      <c r="J118" s="465"/>
      <c r="K118" s="468"/>
    </row>
    <row r="119" spans="1:11" ht="11.25">
      <c r="A119" s="497" t="s">
        <v>343</v>
      </c>
      <c r="B119" s="518" t="s">
        <v>385</v>
      </c>
      <c r="C119" s="495"/>
      <c r="D119" s="496"/>
      <c r="E119" s="483"/>
      <c r="F119" s="482"/>
      <c r="G119" s="465"/>
      <c r="H119" s="465"/>
      <c r="I119" s="465"/>
      <c r="J119" s="465"/>
      <c r="K119" s="468"/>
    </row>
    <row r="120" spans="1:17" ht="11.25">
      <c r="A120" s="482"/>
      <c r="B120" s="518" t="s">
        <v>386</v>
      </c>
      <c r="C120" s="495">
        <v>381</v>
      </c>
      <c r="D120" s="496">
        <f>C120/total</f>
        <v>0.5906976744186047</v>
      </c>
      <c r="E120" s="496">
        <f>C120/(total-q17an)</f>
        <v>0.594383775351014</v>
      </c>
      <c r="F120" s="482"/>
      <c r="G120" s="465"/>
      <c r="H120" s="465"/>
      <c r="I120" s="465"/>
      <c r="J120" s="465"/>
      <c r="K120" s="468"/>
      <c r="O120" s="463" t="s">
        <v>385</v>
      </c>
      <c r="P120" s="463" t="s">
        <v>390</v>
      </c>
      <c r="Q120" s="463" t="s">
        <v>391</v>
      </c>
    </row>
    <row r="121" spans="1:17" ht="11.25">
      <c r="A121" s="482"/>
      <c r="B121" s="518" t="s">
        <v>387</v>
      </c>
      <c r="C121" s="495">
        <v>184</v>
      </c>
      <c r="D121" s="496">
        <f>C121/total</f>
        <v>0.28527131782945736</v>
      </c>
      <c r="E121" s="496">
        <f>C121/(total-q17an)</f>
        <v>0.2870514820592824</v>
      </c>
      <c r="F121" s="482"/>
      <c r="G121" s="465"/>
      <c r="H121" s="465"/>
      <c r="I121" s="465"/>
      <c r="J121" s="465"/>
      <c r="K121" s="468"/>
      <c r="N121" s="518" t="s">
        <v>386</v>
      </c>
      <c r="O121" s="496">
        <f>E120</f>
        <v>0.594383775351014</v>
      </c>
      <c r="P121" s="498">
        <f>E126</f>
        <v>0.3078125</v>
      </c>
      <c r="Q121" s="498">
        <f>E132</f>
        <v>0.65</v>
      </c>
    </row>
    <row r="122" spans="1:17" ht="11.25">
      <c r="A122" s="482"/>
      <c r="B122" s="518" t="s">
        <v>388</v>
      </c>
      <c r="C122" s="495">
        <v>48</v>
      </c>
      <c r="D122" s="496">
        <f>C122/total</f>
        <v>0.07441860465116279</v>
      </c>
      <c r="E122" s="496">
        <f>C122/(total-q17an)</f>
        <v>0.0748829953198128</v>
      </c>
      <c r="F122" s="482"/>
      <c r="G122" s="465"/>
      <c r="H122" s="465"/>
      <c r="I122" s="465"/>
      <c r="J122" s="465"/>
      <c r="K122" s="468"/>
      <c r="N122" s="518" t="s">
        <v>387</v>
      </c>
      <c r="O122" s="496">
        <f>E121</f>
        <v>0.2870514820592824</v>
      </c>
      <c r="P122" s="498">
        <f>E127</f>
        <v>0.384375</v>
      </c>
      <c r="Q122" s="498">
        <f>E133</f>
        <v>0.2265625</v>
      </c>
    </row>
    <row r="123" spans="1:17" ht="11.25">
      <c r="A123" s="482"/>
      <c r="B123" s="467" t="s">
        <v>389</v>
      </c>
      <c r="C123" s="495">
        <v>28</v>
      </c>
      <c r="D123" s="496">
        <f>C123/total</f>
        <v>0.043410852713178294</v>
      </c>
      <c r="E123" s="496">
        <f>C123/(total-q17an)</f>
        <v>0.0436817472698908</v>
      </c>
      <c r="F123" s="482"/>
      <c r="G123" s="465"/>
      <c r="H123" s="465"/>
      <c r="I123" s="465"/>
      <c r="J123" s="465"/>
      <c r="K123" s="468"/>
      <c r="N123" s="518" t="s">
        <v>388</v>
      </c>
      <c r="O123" s="496">
        <f>E122</f>
        <v>0.0748829953198128</v>
      </c>
      <c r="P123" s="498">
        <f>E128</f>
        <v>0.1984375</v>
      </c>
      <c r="Q123" s="498">
        <f>E134</f>
        <v>0.0859375</v>
      </c>
    </row>
    <row r="124" spans="1:17" ht="11.25">
      <c r="A124" s="499"/>
      <c r="B124" s="500" t="s">
        <v>18</v>
      </c>
      <c r="C124" s="501">
        <v>4</v>
      </c>
      <c r="D124" s="502">
        <f>C124/total</f>
        <v>0.006201550387596899</v>
      </c>
      <c r="E124" s="503" t="s">
        <v>19</v>
      </c>
      <c r="F124" s="482"/>
      <c r="G124" s="465"/>
      <c r="H124" s="465"/>
      <c r="I124" s="465"/>
      <c r="J124" s="465"/>
      <c r="K124" s="468"/>
      <c r="N124" s="467" t="s">
        <v>389</v>
      </c>
      <c r="O124" s="496">
        <f>E123</f>
        <v>0.0436817472698908</v>
      </c>
      <c r="P124" s="498">
        <f>E129</f>
        <v>0.109375</v>
      </c>
      <c r="Q124" s="498">
        <f>E135</f>
        <v>0.0375</v>
      </c>
    </row>
    <row r="125" spans="1:11" ht="11.25">
      <c r="A125" s="497" t="s">
        <v>350</v>
      </c>
      <c r="B125" s="518" t="s">
        <v>390</v>
      </c>
      <c r="C125" s="495"/>
      <c r="D125" s="496"/>
      <c r="E125" s="519"/>
      <c r="F125" s="482"/>
      <c r="G125" s="465"/>
      <c r="H125" s="465"/>
      <c r="I125" s="465"/>
      <c r="J125" s="465"/>
      <c r="K125" s="468"/>
    </row>
    <row r="126" spans="1:11" ht="11.25">
      <c r="A126" s="482"/>
      <c r="B126" s="518" t="s">
        <v>386</v>
      </c>
      <c r="C126" s="495">
        <v>197</v>
      </c>
      <c r="D126" s="496">
        <f>C126/total</f>
        <v>0.3054263565891473</v>
      </c>
      <c r="E126" s="496">
        <f>C126/(total-q17bn)</f>
        <v>0.3078125</v>
      </c>
      <c r="F126" s="482"/>
      <c r="G126" s="465"/>
      <c r="H126" s="465"/>
      <c r="I126" s="465"/>
      <c r="J126" s="465"/>
      <c r="K126" s="468"/>
    </row>
    <row r="127" spans="1:17" ht="11.25">
      <c r="A127" s="482"/>
      <c r="B127" s="518" t="s">
        <v>387</v>
      </c>
      <c r="C127" s="495">
        <v>246</v>
      </c>
      <c r="D127" s="496">
        <f>C127/total</f>
        <v>0.3813953488372093</v>
      </c>
      <c r="E127" s="496">
        <f>C127/(total-q17bn)</f>
        <v>0.384375</v>
      </c>
      <c r="F127" s="482"/>
      <c r="G127" s="465"/>
      <c r="H127" s="465"/>
      <c r="I127" s="465"/>
      <c r="J127" s="465"/>
      <c r="K127" s="468"/>
      <c r="N127" s="463" t="s">
        <v>428</v>
      </c>
      <c r="O127" s="498">
        <f>SUM(O121:O122)</f>
        <v>0.8814352574102964</v>
      </c>
      <c r="P127" s="498">
        <f>SUM(P121:P122)</f>
        <v>0.6921875</v>
      </c>
      <c r="Q127" s="498">
        <f>SUM(Q121:Q122)</f>
        <v>0.8765625</v>
      </c>
    </row>
    <row r="128" spans="1:11" ht="11.25">
      <c r="A128" s="482"/>
      <c r="B128" s="518" t="s">
        <v>388</v>
      </c>
      <c r="C128" s="495">
        <v>127</v>
      </c>
      <c r="D128" s="496">
        <f>C128/total</f>
        <v>0.19689922480620156</v>
      </c>
      <c r="E128" s="496">
        <f>C128/(total-q17bn)</f>
        <v>0.1984375</v>
      </c>
      <c r="F128" s="482"/>
      <c r="G128" s="465"/>
      <c r="H128" s="465"/>
      <c r="I128" s="465"/>
      <c r="J128" s="465"/>
      <c r="K128" s="468"/>
    </row>
    <row r="129" spans="1:11" ht="11.25">
      <c r="A129" s="482"/>
      <c r="B129" s="518" t="s">
        <v>389</v>
      </c>
      <c r="C129" s="495">
        <v>70</v>
      </c>
      <c r="D129" s="496">
        <f>C129/total</f>
        <v>0.10852713178294573</v>
      </c>
      <c r="E129" s="496">
        <f>C129/(total-q17bn)</f>
        <v>0.109375</v>
      </c>
      <c r="F129" s="482"/>
      <c r="G129" s="465"/>
      <c r="H129" s="465"/>
      <c r="I129" s="465"/>
      <c r="J129" s="465"/>
      <c r="K129" s="468"/>
    </row>
    <row r="130" spans="1:11" ht="11.25">
      <c r="A130" s="499"/>
      <c r="B130" s="500" t="s">
        <v>18</v>
      </c>
      <c r="C130" s="501">
        <v>5</v>
      </c>
      <c r="D130" s="502">
        <f>C130/total</f>
        <v>0.007751937984496124</v>
      </c>
      <c r="E130" s="503" t="s">
        <v>19</v>
      </c>
      <c r="F130" s="482"/>
      <c r="G130" s="465"/>
      <c r="H130" s="465"/>
      <c r="I130" s="465"/>
      <c r="J130" s="465"/>
      <c r="K130" s="468"/>
    </row>
    <row r="131" spans="1:11" ht="11.25">
      <c r="A131" s="497" t="s">
        <v>352</v>
      </c>
      <c r="B131" s="518" t="s">
        <v>391</v>
      </c>
      <c r="C131" s="495"/>
      <c r="D131" s="496"/>
      <c r="E131" s="519"/>
      <c r="F131" s="482"/>
      <c r="G131" s="465"/>
      <c r="H131" s="465"/>
      <c r="I131" s="465"/>
      <c r="J131" s="465"/>
      <c r="K131" s="468"/>
    </row>
    <row r="132" spans="1:11" ht="9.75" customHeight="1">
      <c r="A132" s="482"/>
      <c r="B132" s="518" t="s">
        <v>386</v>
      </c>
      <c r="C132" s="495">
        <v>416</v>
      </c>
      <c r="D132" s="496">
        <f>C132/total</f>
        <v>0.6449612403100775</v>
      </c>
      <c r="E132" s="496">
        <f>C132/(total-q17cn)</f>
        <v>0.65</v>
      </c>
      <c r="F132" s="482"/>
      <c r="G132" s="465"/>
      <c r="H132" s="465"/>
      <c r="I132" s="465"/>
      <c r="J132" s="465"/>
      <c r="K132" s="468"/>
    </row>
    <row r="133" spans="1:11" ht="10.5" customHeight="1">
      <c r="A133" s="482"/>
      <c r="B133" s="518" t="s">
        <v>387</v>
      </c>
      <c r="C133" s="495">
        <v>145</v>
      </c>
      <c r="D133" s="496">
        <f>C133/total</f>
        <v>0.2248062015503876</v>
      </c>
      <c r="E133" s="496">
        <f>C133/(total-q17cn)</f>
        <v>0.2265625</v>
      </c>
      <c r="F133" s="482"/>
      <c r="G133" s="465"/>
      <c r="H133" s="465"/>
      <c r="I133" s="465"/>
      <c r="J133" s="465"/>
      <c r="K133" s="468"/>
    </row>
    <row r="134" spans="1:11" ht="10.5" customHeight="1">
      <c r="A134" s="482"/>
      <c r="B134" s="518" t="s">
        <v>388</v>
      </c>
      <c r="C134" s="495">
        <v>55</v>
      </c>
      <c r="D134" s="496">
        <f>C134/total</f>
        <v>0.08527131782945736</v>
      </c>
      <c r="E134" s="496">
        <f>C134/(total-q17cn)</f>
        <v>0.0859375</v>
      </c>
      <c r="F134" s="482"/>
      <c r="G134" s="465"/>
      <c r="H134" s="465"/>
      <c r="I134" s="465"/>
      <c r="J134" s="465"/>
      <c r="K134" s="468"/>
    </row>
    <row r="135" spans="1:11" ht="11.25">
      <c r="A135" s="482"/>
      <c r="B135" s="467" t="s">
        <v>389</v>
      </c>
      <c r="C135" s="495">
        <v>24</v>
      </c>
      <c r="D135" s="496">
        <f>C135/total</f>
        <v>0.037209302325581395</v>
      </c>
      <c r="E135" s="496">
        <f>C135/(total-q17cn)</f>
        <v>0.0375</v>
      </c>
      <c r="F135" s="482"/>
      <c r="G135" s="465"/>
      <c r="H135" s="465"/>
      <c r="I135" s="465"/>
      <c r="J135" s="465"/>
      <c r="K135" s="468"/>
    </row>
    <row r="136" spans="1:11" ht="10.5" customHeight="1">
      <c r="A136" s="482"/>
      <c r="B136" s="500" t="s">
        <v>18</v>
      </c>
      <c r="C136" s="511">
        <v>5</v>
      </c>
      <c r="D136" s="512">
        <f>C136/total</f>
        <v>0.007751937984496124</v>
      </c>
      <c r="E136" s="503" t="s">
        <v>19</v>
      </c>
      <c r="F136" s="482"/>
      <c r="G136" s="465"/>
      <c r="H136" s="465"/>
      <c r="I136" s="465"/>
      <c r="J136" s="465"/>
      <c r="K136" s="468"/>
    </row>
    <row r="137" spans="1:11" ht="11.25">
      <c r="A137" s="514" t="s">
        <v>267</v>
      </c>
      <c r="B137" s="515" t="s">
        <v>268</v>
      </c>
      <c r="C137" s="461"/>
      <c r="D137" s="516"/>
      <c r="E137" s="517"/>
      <c r="F137" s="482"/>
      <c r="G137" s="465"/>
      <c r="H137" s="465"/>
      <c r="I137" s="465"/>
      <c r="J137" s="465"/>
      <c r="K137" s="468"/>
    </row>
    <row r="138" spans="1:11" ht="11.25">
      <c r="A138" s="482"/>
      <c r="B138" s="520" t="s">
        <v>269</v>
      </c>
      <c r="C138" s="467"/>
      <c r="D138" s="496"/>
      <c r="E138" s="483"/>
      <c r="F138" s="482"/>
      <c r="G138" s="465"/>
      <c r="H138" s="465"/>
      <c r="I138" s="465"/>
      <c r="J138" s="465"/>
      <c r="K138" s="468"/>
    </row>
    <row r="139" spans="1:11" ht="11.25">
      <c r="A139" s="482"/>
      <c r="B139" s="518" t="s">
        <v>270</v>
      </c>
      <c r="C139" s="467">
        <v>59</v>
      </c>
      <c r="D139" s="496">
        <f aca="true" t="shared" si="14" ref="D139:D144">C139/total</f>
        <v>0.09147286821705426</v>
      </c>
      <c r="E139" s="496">
        <f>C139/(total-q18n)</f>
        <v>0.09276729559748427</v>
      </c>
      <c r="F139" s="482"/>
      <c r="G139" s="465"/>
      <c r="H139" s="465"/>
      <c r="I139" s="465"/>
      <c r="J139" s="465"/>
      <c r="K139" s="468"/>
    </row>
    <row r="140" spans="1:11" ht="11.25">
      <c r="A140" s="482"/>
      <c r="B140" s="518" t="s">
        <v>271</v>
      </c>
      <c r="C140" s="467">
        <v>238</v>
      </c>
      <c r="D140" s="496">
        <f t="shared" si="14"/>
        <v>0.3689922480620155</v>
      </c>
      <c r="E140" s="496">
        <f>C140/(total-q18n)</f>
        <v>0.3742138364779874</v>
      </c>
      <c r="F140" s="482"/>
      <c r="G140" s="465"/>
      <c r="H140" s="465"/>
      <c r="I140" s="465"/>
      <c r="J140" s="465"/>
      <c r="K140" s="468"/>
    </row>
    <row r="141" spans="1:11" ht="11.25">
      <c r="A141" s="482"/>
      <c r="B141" s="518" t="s">
        <v>272</v>
      </c>
      <c r="C141" s="467">
        <v>292</v>
      </c>
      <c r="D141" s="496">
        <f t="shared" si="14"/>
        <v>0.45271317829457364</v>
      </c>
      <c r="E141" s="496">
        <f>C141/(total-q18n)</f>
        <v>0.4591194968553459</v>
      </c>
      <c r="F141" s="482"/>
      <c r="G141" s="465"/>
      <c r="H141" s="465"/>
      <c r="I141" s="465"/>
      <c r="J141" s="465"/>
      <c r="K141" s="468"/>
    </row>
    <row r="142" spans="1:11" ht="11.25">
      <c r="A142" s="482"/>
      <c r="B142" s="518" t="s">
        <v>273</v>
      </c>
      <c r="C142" s="467">
        <v>42</v>
      </c>
      <c r="D142" s="496">
        <f t="shared" si="14"/>
        <v>0.06511627906976744</v>
      </c>
      <c r="E142" s="496">
        <f>C142/(total-q18n)</f>
        <v>0.0660377358490566</v>
      </c>
      <c r="F142" s="482"/>
      <c r="G142" s="465"/>
      <c r="H142" s="465"/>
      <c r="I142" s="465"/>
      <c r="J142" s="465"/>
      <c r="K142" s="468"/>
    </row>
    <row r="143" spans="1:11" ht="11.25">
      <c r="A143" s="482"/>
      <c r="B143" s="518" t="s">
        <v>274</v>
      </c>
      <c r="C143" s="467">
        <v>5</v>
      </c>
      <c r="D143" s="496">
        <f t="shared" si="14"/>
        <v>0.007751937984496124</v>
      </c>
      <c r="E143" s="496">
        <f>C143/(total-q18n)</f>
        <v>0.007861635220125786</v>
      </c>
      <c r="F143" s="482"/>
      <c r="G143" s="465"/>
      <c r="H143" s="465"/>
      <c r="I143" s="465"/>
      <c r="J143" s="465"/>
      <c r="K143" s="468"/>
    </row>
    <row r="144" spans="1:11" ht="11.25">
      <c r="A144" s="485"/>
      <c r="B144" s="472" t="s">
        <v>18</v>
      </c>
      <c r="C144" s="471">
        <v>9</v>
      </c>
      <c r="D144" s="512">
        <f t="shared" si="14"/>
        <v>0.013953488372093023</v>
      </c>
      <c r="E144" s="488" t="s">
        <v>19</v>
      </c>
      <c r="F144" s="485"/>
      <c r="G144" s="470"/>
      <c r="H144" s="470"/>
      <c r="I144" s="470"/>
      <c r="J144" s="470"/>
      <c r="K144" s="486"/>
    </row>
    <row r="145" spans="1:11" ht="12.75">
      <c r="A145" s="458" t="s">
        <v>337</v>
      </c>
      <c r="B145" s="459"/>
      <c r="C145" s="460"/>
      <c r="D145" s="510"/>
      <c r="E145" s="510"/>
      <c r="F145" s="461"/>
      <c r="G145" s="461"/>
      <c r="H145" s="461"/>
      <c r="I145" s="461"/>
      <c r="J145" s="461"/>
      <c r="K145" s="462" t="s">
        <v>392</v>
      </c>
    </row>
    <row r="146" spans="1:11" ht="12.75">
      <c r="A146" s="464" t="s">
        <v>313</v>
      </c>
      <c r="B146" s="465"/>
      <c r="C146" s="466"/>
      <c r="D146" s="466"/>
      <c r="E146" s="466"/>
      <c r="F146" s="467"/>
      <c r="G146" s="467"/>
      <c r="H146" s="467"/>
      <c r="I146" s="467"/>
      <c r="J146" s="467"/>
      <c r="K146" s="468"/>
    </row>
    <row r="147" spans="1:11" ht="12.75">
      <c r="A147" s="6" t="s">
        <v>339</v>
      </c>
      <c r="B147" s="465"/>
      <c r="C147" s="466"/>
      <c r="D147" s="466"/>
      <c r="E147" s="466"/>
      <c r="F147" s="467"/>
      <c r="G147" s="467"/>
      <c r="H147" s="467"/>
      <c r="I147" s="467"/>
      <c r="J147" s="467"/>
      <c r="K147" s="468"/>
    </row>
    <row r="148" spans="1:15" ht="12.75">
      <c r="A148" s="469" t="s">
        <v>340</v>
      </c>
      <c r="B148" s="470"/>
      <c r="C148" s="470"/>
      <c r="D148" s="470"/>
      <c r="E148" s="470"/>
      <c r="F148" s="470"/>
      <c r="G148" s="470"/>
      <c r="H148" s="471"/>
      <c r="I148" s="471"/>
      <c r="J148" s="471"/>
      <c r="K148" s="472"/>
      <c r="L148" s="473"/>
      <c r="M148" s="474"/>
      <c r="N148" s="473"/>
      <c r="O148" s="473"/>
    </row>
    <row r="149" spans="1:18" ht="9.75" customHeight="1">
      <c r="A149" s="475"/>
      <c r="B149" s="476"/>
      <c r="C149" s="475"/>
      <c r="D149" s="477" t="s">
        <v>5</v>
      </c>
      <c r="E149" s="479" t="s">
        <v>5</v>
      </c>
      <c r="F149" s="478"/>
      <c r="G149" s="459"/>
      <c r="H149" s="477"/>
      <c r="I149" s="477"/>
      <c r="J149" s="477"/>
      <c r="K149" s="479"/>
      <c r="L149" s="474"/>
      <c r="M149" s="474"/>
      <c r="N149" s="474"/>
      <c r="O149" s="474"/>
      <c r="P149" s="474"/>
      <c r="Q149" s="474"/>
      <c r="R149" s="474"/>
    </row>
    <row r="150" spans="1:19" ht="11.25" customHeight="1">
      <c r="A150" s="480"/>
      <c r="B150" s="481" t="s">
        <v>360</v>
      </c>
      <c r="C150" s="482"/>
      <c r="D150" s="483" t="s">
        <v>7</v>
      </c>
      <c r="E150" s="484" t="s">
        <v>8</v>
      </c>
      <c r="F150" s="482"/>
      <c r="G150" s="465"/>
      <c r="H150" s="483"/>
      <c r="I150" s="483"/>
      <c r="J150" s="483"/>
      <c r="K150" s="484"/>
      <c r="L150" s="474"/>
      <c r="M150" s="474"/>
      <c r="N150" s="474"/>
      <c r="O150" s="474"/>
      <c r="P150" s="474"/>
      <c r="Q150" s="474"/>
      <c r="R150" s="474"/>
      <c r="S150" s="474"/>
    </row>
    <row r="151" spans="1:22" ht="9.75" customHeight="1">
      <c r="A151" s="485"/>
      <c r="B151" s="486"/>
      <c r="C151" s="487" t="s">
        <v>9</v>
      </c>
      <c r="D151" s="488" t="s">
        <v>10</v>
      </c>
      <c r="E151" s="513" t="s">
        <v>10</v>
      </c>
      <c r="F151" s="482"/>
      <c r="G151" s="465"/>
      <c r="H151" s="483"/>
      <c r="I151" s="483"/>
      <c r="J151" s="483"/>
      <c r="K151" s="484"/>
      <c r="L151" s="474"/>
      <c r="M151" s="474"/>
      <c r="N151" s="474"/>
      <c r="O151" s="518" t="s">
        <v>395</v>
      </c>
      <c r="P151" s="518" t="s">
        <v>399</v>
      </c>
      <c r="Q151" s="518" t="s">
        <v>400</v>
      </c>
      <c r="R151" s="518" t="s">
        <v>401</v>
      </c>
      <c r="S151" s="518" t="s">
        <v>402</v>
      </c>
      <c r="T151" s="518" t="s">
        <v>403</v>
      </c>
      <c r="U151" s="518" t="s">
        <v>404</v>
      </c>
      <c r="V151" s="518" t="s">
        <v>405</v>
      </c>
    </row>
    <row r="152" spans="1:22" ht="11.25">
      <c r="A152" s="514" t="s">
        <v>393</v>
      </c>
      <c r="B152" s="515" t="s">
        <v>394</v>
      </c>
      <c r="C152" s="461"/>
      <c r="D152" s="516"/>
      <c r="E152" s="521"/>
      <c r="F152" s="482"/>
      <c r="G152" s="465"/>
      <c r="H152" s="465"/>
      <c r="I152" s="465"/>
      <c r="J152" s="465"/>
      <c r="K152" s="468"/>
      <c r="N152" s="518" t="s">
        <v>396</v>
      </c>
      <c r="O152" s="498">
        <f>E154</f>
        <v>0.2744479495268139</v>
      </c>
      <c r="P152" s="498">
        <f>E159</f>
        <v>0.20440251572327045</v>
      </c>
      <c r="Q152" s="498">
        <f>E164</f>
        <v>0.34850863422291994</v>
      </c>
      <c r="R152" s="498">
        <f>E169</f>
        <v>0.2711598746081505</v>
      </c>
      <c r="S152" s="498">
        <f>E174</f>
        <v>0.3573667711598746</v>
      </c>
      <c r="T152" s="498">
        <f>E179</f>
        <v>0.07389937106918239</v>
      </c>
      <c r="U152" s="498">
        <f>E184</f>
        <v>0.28056426332288403</v>
      </c>
      <c r="V152" s="498">
        <f>E194</f>
        <v>0.5993740219092332</v>
      </c>
    </row>
    <row r="153" spans="1:22" ht="10.5" customHeight="1">
      <c r="A153" s="497" t="s">
        <v>343</v>
      </c>
      <c r="B153" s="518" t="s">
        <v>395</v>
      </c>
      <c r="C153" s="467"/>
      <c r="D153" s="496"/>
      <c r="E153" s="484"/>
      <c r="F153" s="482"/>
      <c r="G153" s="465"/>
      <c r="H153" s="465"/>
      <c r="I153" s="465"/>
      <c r="J153" s="465"/>
      <c r="K153" s="468"/>
      <c r="N153" s="518" t="s">
        <v>397</v>
      </c>
      <c r="O153" s="498">
        <f>E155</f>
        <v>0.3501577287066246</v>
      </c>
      <c r="P153" s="498">
        <f>E160</f>
        <v>0.3490566037735849</v>
      </c>
      <c r="Q153" s="498">
        <f>E165</f>
        <v>0.2967032967032967</v>
      </c>
      <c r="R153" s="498">
        <f>E170</f>
        <v>0.32601880877742945</v>
      </c>
      <c r="S153" s="498">
        <f>E175</f>
        <v>0.3714733542319749</v>
      </c>
      <c r="T153" s="498">
        <f>E180</f>
        <v>0.17767295597484276</v>
      </c>
      <c r="U153" s="498">
        <f>E185</f>
        <v>0.28056426332288403</v>
      </c>
      <c r="V153" s="498">
        <f>E195</f>
        <v>0.2597809076682316</v>
      </c>
    </row>
    <row r="154" spans="1:22" ht="10.5" customHeight="1">
      <c r="A154" s="482"/>
      <c r="B154" s="518" t="s">
        <v>396</v>
      </c>
      <c r="C154" s="467">
        <v>174</v>
      </c>
      <c r="D154" s="496">
        <f>C154/total</f>
        <v>0.26976744186046514</v>
      </c>
      <c r="E154" s="522">
        <f>C154/(total-q19an)</f>
        <v>0.2744479495268139</v>
      </c>
      <c r="F154" s="482"/>
      <c r="G154" s="465"/>
      <c r="H154" s="465"/>
      <c r="I154" s="465"/>
      <c r="J154" s="465"/>
      <c r="K154" s="468"/>
      <c r="N154" s="518" t="s">
        <v>398</v>
      </c>
      <c r="O154" s="498">
        <f>E156</f>
        <v>0.3753943217665615</v>
      </c>
      <c r="P154" s="498">
        <f>E161</f>
        <v>0.44654088050314467</v>
      </c>
      <c r="Q154" s="498">
        <f>E166</f>
        <v>0.35478806907378335</v>
      </c>
      <c r="R154" s="498">
        <f>E171</f>
        <v>0.40282131661442006</v>
      </c>
      <c r="S154" s="498">
        <f>E176</f>
        <v>0.2711598746081505</v>
      </c>
      <c r="T154" s="498">
        <f>E181</f>
        <v>0.7484276729559748</v>
      </c>
      <c r="U154" s="498">
        <f>E186</f>
        <v>0.438871473354232</v>
      </c>
      <c r="V154" s="498">
        <f>E196</f>
        <v>0.14084507042253522</v>
      </c>
    </row>
    <row r="155" spans="1:18" ht="10.5" customHeight="1">
      <c r="A155" s="482"/>
      <c r="B155" s="518" t="s">
        <v>397</v>
      </c>
      <c r="C155" s="467">
        <v>222</v>
      </c>
      <c r="D155" s="496">
        <f>C155/total</f>
        <v>0.34418604651162793</v>
      </c>
      <c r="E155" s="522">
        <f>C155/(total-q19an)</f>
        <v>0.3501577287066246</v>
      </c>
      <c r="F155" s="482"/>
      <c r="G155" s="465"/>
      <c r="H155" s="465"/>
      <c r="I155" s="465"/>
      <c r="J155" s="465"/>
      <c r="K155" s="468"/>
      <c r="N155" s="523" t="s">
        <v>18</v>
      </c>
      <c r="O155" s="498" t="str">
        <f>E157</f>
        <v>--  </v>
      </c>
      <c r="Q155" s="498" t="str">
        <f>E167</f>
        <v>--  </v>
      </c>
      <c r="R155" s="498" t="str">
        <f>E172</f>
        <v>--  </v>
      </c>
    </row>
    <row r="156" spans="1:16" ht="10.5" customHeight="1">
      <c r="A156" s="482"/>
      <c r="B156" s="518" t="s">
        <v>398</v>
      </c>
      <c r="C156" s="467">
        <v>238</v>
      </c>
      <c r="D156" s="496">
        <f>C156/total</f>
        <v>0.3689922480620155</v>
      </c>
      <c r="E156" s="522">
        <f>C156/(total-q19an)</f>
        <v>0.3753943217665615</v>
      </c>
      <c r="F156" s="482"/>
      <c r="G156" s="465"/>
      <c r="H156" s="465"/>
      <c r="I156" s="465"/>
      <c r="J156" s="465"/>
      <c r="K156" s="468"/>
      <c r="P156" s="498" t="str">
        <f>E162</f>
        <v>--  </v>
      </c>
    </row>
    <row r="157" spans="1:11" ht="10.5" customHeight="1">
      <c r="A157" s="499"/>
      <c r="B157" s="523" t="s">
        <v>18</v>
      </c>
      <c r="C157" s="500">
        <v>11</v>
      </c>
      <c r="D157" s="502">
        <f>C157/total</f>
        <v>0.017054263565891473</v>
      </c>
      <c r="E157" s="507" t="s">
        <v>19</v>
      </c>
      <c r="F157" s="482"/>
      <c r="G157" s="465"/>
      <c r="H157" s="465"/>
      <c r="I157" s="465"/>
      <c r="J157" s="465"/>
      <c r="K157" s="468"/>
    </row>
    <row r="158" spans="1:11" ht="10.5" customHeight="1">
      <c r="A158" s="497" t="s">
        <v>350</v>
      </c>
      <c r="B158" s="518" t="s">
        <v>399</v>
      </c>
      <c r="C158" s="467"/>
      <c r="D158" s="496"/>
      <c r="E158" s="524"/>
      <c r="F158" s="482"/>
      <c r="G158" s="465"/>
      <c r="H158" s="465"/>
      <c r="I158" s="465"/>
      <c r="J158" s="465"/>
      <c r="K158" s="468"/>
    </row>
    <row r="159" spans="1:11" ht="10.5" customHeight="1">
      <c r="A159" s="482"/>
      <c r="B159" s="518" t="s">
        <v>396</v>
      </c>
      <c r="C159" s="467">
        <v>130</v>
      </c>
      <c r="D159" s="496">
        <f>C159/total</f>
        <v>0.20155038759689922</v>
      </c>
      <c r="E159" s="522">
        <f>C159/(total-q19bn)</f>
        <v>0.20440251572327045</v>
      </c>
      <c r="F159" s="482"/>
      <c r="G159" s="465"/>
      <c r="H159" s="465"/>
      <c r="I159" s="465"/>
      <c r="J159" s="465"/>
      <c r="K159" s="468"/>
    </row>
    <row r="160" spans="1:22" ht="10.5" customHeight="1">
      <c r="A160" s="482"/>
      <c r="B160" s="518" t="s">
        <v>397</v>
      </c>
      <c r="C160" s="467">
        <v>222</v>
      </c>
      <c r="D160" s="496">
        <f>C160/total</f>
        <v>0.34418604651162793</v>
      </c>
      <c r="E160" s="522">
        <f>C160/(total-q19bn)</f>
        <v>0.3490566037735849</v>
      </c>
      <c r="F160" s="482"/>
      <c r="G160" s="465"/>
      <c r="H160" s="465"/>
      <c r="I160" s="465"/>
      <c r="J160" s="465"/>
      <c r="K160" s="468"/>
      <c r="N160" s="463" t="s">
        <v>429</v>
      </c>
      <c r="O160" s="498">
        <f aca="true" t="shared" si="15" ref="O160:V160">SUM(O152:O153)</f>
        <v>0.6246056782334385</v>
      </c>
      <c r="P160" s="498">
        <f t="shared" si="15"/>
        <v>0.5534591194968553</v>
      </c>
      <c r="Q160" s="498">
        <f t="shared" si="15"/>
        <v>0.6452119309262166</v>
      </c>
      <c r="R160" s="498">
        <f t="shared" si="15"/>
        <v>0.5971786833855799</v>
      </c>
      <c r="S160" s="498">
        <f t="shared" si="15"/>
        <v>0.7288401253918495</v>
      </c>
      <c r="T160" s="498">
        <f t="shared" si="15"/>
        <v>0.25157232704402516</v>
      </c>
      <c r="U160" s="498">
        <f t="shared" si="15"/>
        <v>0.5611285266457681</v>
      </c>
      <c r="V160" s="498">
        <f t="shared" si="15"/>
        <v>0.8591549295774648</v>
      </c>
    </row>
    <row r="161" spans="1:11" ht="10.5" customHeight="1">
      <c r="A161" s="482"/>
      <c r="B161" s="518" t="s">
        <v>398</v>
      </c>
      <c r="C161" s="467">
        <v>284</v>
      </c>
      <c r="D161" s="496">
        <f>C161/total</f>
        <v>0.44031007751937984</v>
      </c>
      <c r="E161" s="522">
        <f>C161/(total-q19bn)</f>
        <v>0.44654088050314467</v>
      </c>
      <c r="F161" s="482"/>
      <c r="G161" s="465"/>
      <c r="H161" s="465"/>
      <c r="I161" s="465"/>
      <c r="J161" s="465"/>
      <c r="K161" s="468"/>
    </row>
    <row r="162" spans="1:11" ht="10.5" customHeight="1">
      <c r="A162" s="499"/>
      <c r="B162" s="523" t="s">
        <v>18</v>
      </c>
      <c r="C162" s="500">
        <v>9</v>
      </c>
      <c r="D162" s="502">
        <f>C162/total</f>
        <v>0.013953488372093023</v>
      </c>
      <c r="E162" s="507" t="s">
        <v>19</v>
      </c>
      <c r="F162" s="482"/>
      <c r="G162" s="465"/>
      <c r="H162" s="465"/>
      <c r="I162" s="465"/>
      <c r="J162" s="465"/>
      <c r="K162" s="468"/>
    </row>
    <row r="163" spans="1:11" ht="10.5" customHeight="1">
      <c r="A163" s="497" t="s">
        <v>352</v>
      </c>
      <c r="B163" s="518" t="s">
        <v>400</v>
      </c>
      <c r="C163" s="467"/>
      <c r="D163" s="496"/>
      <c r="E163" s="524"/>
      <c r="F163" s="482"/>
      <c r="G163" s="465"/>
      <c r="H163" s="465"/>
      <c r="I163" s="465"/>
      <c r="J163" s="465"/>
      <c r="K163" s="468"/>
    </row>
    <row r="164" spans="1:11" ht="10.5" customHeight="1">
      <c r="A164" s="482"/>
      <c r="B164" s="518" t="s">
        <v>396</v>
      </c>
      <c r="C164" s="467">
        <v>222</v>
      </c>
      <c r="D164" s="496">
        <f>C164/total</f>
        <v>0.34418604651162793</v>
      </c>
      <c r="E164" s="522">
        <f>C164/(total-q19cn)</f>
        <v>0.34850863422291994</v>
      </c>
      <c r="F164" s="482"/>
      <c r="G164" s="465"/>
      <c r="H164" s="465"/>
      <c r="I164" s="465"/>
      <c r="J164" s="465"/>
      <c r="K164" s="468"/>
    </row>
    <row r="165" spans="1:11" ht="10.5" customHeight="1">
      <c r="A165" s="482"/>
      <c r="B165" s="518" t="s">
        <v>397</v>
      </c>
      <c r="C165" s="467">
        <v>189</v>
      </c>
      <c r="D165" s="496">
        <f>C165/total</f>
        <v>0.2930232558139535</v>
      </c>
      <c r="E165" s="522">
        <f>C165/(total-q19cn)</f>
        <v>0.2967032967032967</v>
      </c>
      <c r="F165" s="482"/>
      <c r="G165" s="465"/>
      <c r="H165" s="465"/>
      <c r="I165" s="465"/>
      <c r="J165" s="465"/>
      <c r="K165" s="468"/>
    </row>
    <row r="166" spans="1:11" ht="10.5" customHeight="1">
      <c r="A166" s="482"/>
      <c r="B166" s="518" t="s">
        <v>398</v>
      </c>
      <c r="C166" s="467">
        <v>226</v>
      </c>
      <c r="D166" s="496">
        <f>C166/total</f>
        <v>0.35038759689922483</v>
      </c>
      <c r="E166" s="522">
        <f>C166/(total-q19cn)</f>
        <v>0.35478806907378335</v>
      </c>
      <c r="F166" s="482"/>
      <c r="G166" s="465"/>
      <c r="H166" s="465"/>
      <c r="I166" s="465"/>
      <c r="J166" s="465"/>
      <c r="K166" s="468"/>
    </row>
    <row r="167" spans="1:11" ht="10.5" customHeight="1">
      <c r="A167" s="499"/>
      <c r="B167" s="523" t="s">
        <v>18</v>
      </c>
      <c r="C167" s="500">
        <v>8</v>
      </c>
      <c r="D167" s="502">
        <f>C167/total</f>
        <v>0.012403100775193798</v>
      </c>
      <c r="E167" s="507" t="s">
        <v>19</v>
      </c>
      <c r="F167" s="482"/>
      <c r="G167" s="465"/>
      <c r="H167" s="465"/>
      <c r="I167" s="465"/>
      <c r="J167" s="465"/>
      <c r="K167" s="468"/>
    </row>
    <row r="168" spans="1:11" ht="10.5" customHeight="1">
      <c r="A168" s="497" t="s">
        <v>355</v>
      </c>
      <c r="B168" s="518" t="s">
        <v>401</v>
      </c>
      <c r="C168" s="467"/>
      <c r="D168" s="496"/>
      <c r="E168" s="524"/>
      <c r="F168" s="482"/>
      <c r="G168" s="465"/>
      <c r="H168" s="465"/>
      <c r="I168" s="465"/>
      <c r="J168" s="465"/>
      <c r="K168" s="468"/>
    </row>
    <row r="169" spans="1:11" ht="10.5" customHeight="1">
      <c r="A169" s="482"/>
      <c r="B169" s="518" t="s">
        <v>396</v>
      </c>
      <c r="C169" s="467">
        <v>173</v>
      </c>
      <c r="D169" s="496">
        <f>C169/total</f>
        <v>0.2682170542635659</v>
      </c>
      <c r="E169" s="522">
        <f>C169/(total-q19dn)</f>
        <v>0.2711598746081505</v>
      </c>
      <c r="F169" s="482"/>
      <c r="G169" s="465"/>
      <c r="H169" s="465"/>
      <c r="I169" s="465"/>
      <c r="J169" s="465"/>
      <c r="K169" s="468"/>
    </row>
    <row r="170" spans="1:11" ht="10.5" customHeight="1">
      <c r="A170" s="482"/>
      <c r="B170" s="518" t="s">
        <v>397</v>
      </c>
      <c r="C170" s="467">
        <v>208</v>
      </c>
      <c r="D170" s="496">
        <f>C170/total</f>
        <v>0.32248062015503876</v>
      </c>
      <c r="E170" s="522">
        <f>C170/(total-q19dn)</f>
        <v>0.32601880877742945</v>
      </c>
      <c r="F170" s="482"/>
      <c r="G170" s="465"/>
      <c r="H170" s="465"/>
      <c r="I170" s="465"/>
      <c r="J170" s="465"/>
      <c r="K170" s="468"/>
    </row>
    <row r="171" spans="1:11" ht="10.5" customHeight="1">
      <c r="A171" s="482"/>
      <c r="B171" s="518" t="s">
        <v>398</v>
      </c>
      <c r="C171" s="467">
        <v>257</v>
      </c>
      <c r="D171" s="496">
        <f>C171/total</f>
        <v>0.3984496124031008</v>
      </c>
      <c r="E171" s="522">
        <f>C171/(total-q19dn)</f>
        <v>0.40282131661442006</v>
      </c>
      <c r="F171" s="482"/>
      <c r="G171" s="465"/>
      <c r="H171" s="465"/>
      <c r="I171" s="465"/>
      <c r="J171" s="465"/>
      <c r="K171" s="468"/>
    </row>
    <row r="172" spans="1:11" ht="10.5" customHeight="1">
      <c r="A172" s="499"/>
      <c r="B172" s="523" t="s">
        <v>18</v>
      </c>
      <c r="C172" s="500">
        <v>7</v>
      </c>
      <c r="D172" s="502">
        <f>C172/total</f>
        <v>0.010852713178294573</v>
      </c>
      <c r="E172" s="507" t="s">
        <v>19</v>
      </c>
      <c r="F172" s="482"/>
      <c r="G172" s="465"/>
      <c r="H172" s="465"/>
      <c r="I172" s="465"/>
      <c r="J172" s="465"/>
      <c r="K172" s="468"/>
    </row>
    <row r="173" spans="1:11" ht="10.5" customHeight="1">
      <c r="A173" s="497" t="s">
        <v>357</v>
      </c>
      <c r="B173" s="518" t="s">
        <v>402</v>
      </c>
      <c r="C173" s="467"/>
      <c r="D173" s="496"/>
      <c r="E173" s="524"/>
      <c r="F173" s="482"/>
      <c r="G173" s="465"/>
      <c r="H173" s="465"/>
      <c r="I173" s="465"/>
      <c r="J173" s="465"/>
      <c r="K173" s="468"/>
    </row>
    <row r="174" spans="1:11" ht="10.5" customHeight="1">
      <c r="A174" s="482"/>
      <c r="B174" s="518" t="s">
        <v>396</v>
      </c>
      <c r="C174" s="467">
        <v>228</v>
      </c>
      <c r="D174" s="496">
        <f>C174/total</f>
        <v>0.35348837209302325</v>
      </c>
      <c r="E174" s="522">
        <f>C174/(total-q19en)</f>
        <v>0.3573667711598746</v>
      </c>
      <c r="F174" s="482"/>
      <c r="G174" s="465"/>
      <c r="H174" s="465"/>
      <c r="I174" s="465"/>
      <c r="J174" s="465"/>
      <c r="K174" s="468"/>
    </row>
    <row r="175" spans="1:11" ht="10.5" customHeight="1">
      <c r="A175" s="482"/>
      <c r="B175" s="518" t="s">
        <v>397</v>
      </c>
      <c r="C175" s="467">
        <v>237</v>
      </c>
      <c r="D175" s="496">
        <f>C175/total</f>
        <v>0.3674418604651163</v>
      </c>
      <c r="E175" s="522">
        <f>C175/(total-q19en)</f>
        <v>0.3714733542319749</v>
      </c>
      <c r="F175" s="482"/>
      <c r="G175" s="465"/>
      <c r="H175" s="465"/>
      <c r="I175" s="465"/>
      <c r="J175" s="465"/>
      <c r="K175" s="468"/>
    </row>
    <row r="176" spans="1:11" ht="10.5" customHeight="1">
      <c r="A176" s="482"/>
      <c r="B176" s="518" t="s">
        <v>398</v>
      </c>
      <c r="C176" s="467">
        <v>173</v>
      </c>
      <c r="D176" s="496">
        <f>C176/total</f>
        <v>0.2682170542635659</v>
      </c>
      <c r="E176" s="522">
        <f>C176/(total-q19en)</f>
        <v>0.2711598746081505</v>
      </c>
      <c r="F176" s="482"/>
      <c r="G176" s="465"/>
      <c r="H176" s="465"/>
      <c r="I176" s="465"/>
      <c r="J176" s="465"/>
      <c r="K176" s="468"/>
    </row>
    <row r="177" spans="1:11" ht="10.5" customHeight="1">
      <c r="A177" s="499"/>
      <c r="B177" s="523" t="s">
        <v>18</v>
      </c>
      <c r="C177" s="500">
        <v>7</v>
      </c>
      <c r="D177" s="502">
        <f>C177/total</f>
        <v>0.010852713178294573</v>
      </c>
      <c r="E177" s="507" t="s">
        <v>19</v>
      </c>
      <c r="F177" s="482"/>
      <c r="G177" s="465"/>
      <c r="H177" s="465"/>
      <c r="I177" s="465"/>
      <c r="J177" s="465"/>
      <c r="K177" s="468"/>
    </row>
    <row r="178" spans="1:11" ht="10.5" customHeight="1">
      <c r="A178" s="497" t="s">
        <v>361</v>
      </c>
      <c r="B178" s="518" t="s">
        <v>403</v>
      </c>
      <c r="C178" s="467"/>
      <c r="D178" s="496"/>
      <c r="E178" s="524"/>
      <c r="F178" s="482"/>
      <c r="G178" s="465"/>
      <c r="H178" s="465"/>
      <c r="I178" s="465"/>
      <c r="J178" s="465"/>
      <c r="K178" s="468"/>
    </row>
    <row r="179" spans="1:11" ht="10.5" customHeight="1">
      <c r="A179" s="482"/>
      <c r="B179" s="518" t="s">
        <v>396</v>
      </c>
      <c r="C179" s="467">
        <v>47</v>
      </c>
      <c r="D179" s="496">
        <f>C179/total</f>
        <v>0.07286821705426356</v>
      </c>
      <c r="E179" s="522">
        <f>C179/(total-q19fn)</f>
        <v>0.07389937106918239</v>
      </c>
      <c r="F179" s="482"/>
      <c r="G179" s="465"/>
      <c r="H179" s="465"/>
      <c r="I179" s="465"/>
      <c r="J179" s="465"/>
      <c r="K179" s="468"/>
    </row>
    <row r="180" spans="1:11" ht="10.5" customHeight="1">
      <c r="A180" s="482"/>
      <c r="B180" s="518" t="s">
        <v>397</v>
      </c>
      <c r="C180" s="467">
        <v>113</v>
      </c>
      <c r="D180" s="496">
        <f>C180/total</f>
        <v>0.17519379844961241</v>
      </c>
      <c r="E180" s="522">
        <f>C180/(total-q19fn)</f>
        <v>0.17767295597484276</v>
      </c>
      <c r="F180" s="482"/>
      <c r="G180" s="465"/>
      <c r="H180" s="465"/>
      <c r="I180" s="465"/>
      <c r="J180" s="465"/>
      <c r="K180" s="468"/>
    </row>
    <row r="181" spans="1:11" ht="10.5" customHeight="1">
      <c r="A181" s="482"/>
      <c r="B181" s="518" t="s">
        <v>398</v>
      </c>
      <c r="C181" s="467">
        <v>476</v>
      </c>
      <c r="D181" s="496">
        <f>C181/total</f>
        <v>0.737984496124031</v>
      </c>
      <c r="E181" s="522">
        <f>C181/(total-q19fn)</f>
        <v>0.7484276729559748</v>
      </c>
      <c r="F181" s="482"/>
      <c r="G181" s="465"/>
      <c r="H181" s="465"/>
      <c r="I181" s="465"/>
      <c r="J181" s="465"/>
      <c r="K181" s="468"/>
    </row>
    <row r="182" spans="1:11" ht="10.5" customHeight="1">
      <c r="A182" s="499"/>
      <c r="B182" s="523" t="s">
        <v>18</v>
      </c>
      <c r="C182" s="500">
        <v>9</v>
      </c>
      <c r="D182" s="502">
        <f>C182/total</f>
        <v>0.013953488372093023</v>
      </c>
      <c r="E182" s="507" t="s">
        <v>19</v>
      </c>
      <c r="F182" s="482"/>
      <c r="G182" s="465"/>
      <c r="H182" s="465"/>
      <c r="I182" s="465"/>
      <c r="J182" s="465"/>
      <c r="K182" s="468"/>
    </row>
    <row r="183" spans="1:11" ht="10.5" customHeight="1">
      <c r="A183" s="497" t="s">
        <v>363</v>
      </c>
      <c r="B183" s="518" t="s">
        <v>404</v>
      </c>
      <c r="C183" s="467"/>
      <c r="D183" s="496"/>
      <c r="E183" s="524"/>
      <c r="F183" s="495"/>
      <c r="G183" s="467"/>
      <c r="H183" s="467"/>
      <c r="I183" s="465"/>
      <c r="J183" s="465"/>
      <c r="K183" s="468"/>
    </row>
    <row r="184" spans="1:11" ht="10.5" customHeight="1">
      <c r="A184" s="482"/>
      <c r="B184" s="518" t="s">
        <v>396</v>
      </c>
      <c r="C184" s="467">
        <v>179</v>
      </c>
      <c r="D184" s="496">
        <f>C184/total</f>
        <v>0.2775193798449612</v>
      </c>
      <c r="E184" s="522">
        <f>C184/(total-q19gn)</f>
        <v>0.28056426332288403</v>
      </c>
      <c r="F184" s="482"/>
      <c r="G184" s="465"/>
      <c r="H184" s="465"/>
      <c r="I184" s="465"/>
      <c r="J184" s="465"/>
      <c r="K184" s="468"/>
    </row>
    <row r="185" spans="1:11" ht="10.5" customHeight="1">
      <c r="A185" s="482"/>
      <c r="B185" s="518" t="s">
        <v>397</v>
      </c>
      <c r="C185" s="467">
        <v>179</v>
      </c>
      <c r="D185" s="496">
        <f>C185/total</f>
        <v>0.2775193798449612</v>
      </c>
      <c r="E185" s="522">
        <f>C185/(total-q19gn)</f>
        <v>0.28056426332288403</v>
      </c>
      <c r="F185" s="482"/>
      <c r="G185" s="465"/>
      <c r="H185" s="465"/>
      <c r="I185" s="465"/>
      <c r="J185" s="465"/>
      <c r="K185" s="468"/>
    </row>
    <row r="186" spans="1:11" ht="10.5" customHeight="1">
      <c r="A186" s="482"/>
      <c r="B186" s="518" t="s">
        <v>398</v>
      </c>
      <c r="C186" s="467">
        <v>280</v>
      </c>
      <c r="D186" s="496">
        <f>C186/total</f>
        <v>0.43410852713178294</v>
      </c>
      <c r="E186" s="522">
        <f>C186/(total-q19gn)</f>
        <v>0.438871473354232</v>
      </c>
      <c r="F186" s="482"/>
      <c r="G186" s="465"/>
      <c r="H186" s="465"/>
      <c r="I186" s="465"/>
      <c r="J186" s="465"/>
      <c r="K186" s="468"/>
    </row>
    <row r="187" spans="1:11" ht="10.5" customHeight="1">
      <c r="A187" s="499"/>
      <c r="B187" s="523" t="s">
        <v>18</v>
      </c>
      <c r="C187" s="500">
        <v>7</v>
      </c>
      <c r="D187" s="502">
        <f>C187/total</f>
        <v>0.010852713178294573</v>
      </c>
      <c r="E187" s="507" t="s">
        <v>19</v>
      </c>
      <c r="F187" s="482"/>
      <c r="G187" s="465"/>
      <c r="H187" s="465"/>
      <c r="I187" s="465"/>
      <c r="J187" s="465"/>
      <c r="K187" s="468"/>
    </row>
    <row r="188" spans="1:11" ht="10.5" customHeight="1">
      <c r="A188" s="497" t="s">
        <v>365</v>
      </c>
      <c r="B188" s="518" t="s">
        <v>405</v>
      </c>
      <c r="C188" s="467"/>
      <c r="D188" s="496"/>
      <c r="E188" s="524"/>
      <c r="F188" s="495"/>
      <c r="G188" s="467"/>
      <c r="H188" s="467"/>
      <c r="I188" s="465"/>
      <c r="J188" s="465"/>
      <c r="K188" s="468"/>
    </row>
    <row r="189" spans="1:11" ht="10.5" customHeight="1">
      <c r="A189" s="482"/>
      <c r="B189" s="518" t="s">
        <v>396</v>
      </c>
      <c r="C189" s="467">
        <v>114</v>
      </c>
      <c r="D189" s="496">
        <f>C189/total</f>
        <v>0.17674418604651163</v>
      </c>
      <c r="E189" s="522">
        <f>C189/(total-q19hn)</f>
        <v>0.1784037558685446</v>
      </c>
      <c r="F189" s="482"/>
      <c r="G189" s="465"/>
      <c r="H189" s="465"/>
      <c r="I189" s="465"/>
      <c r="J189" s="465"/>
      <c r="K189" s="468"/>
    </row>
    <row r="190" spans="1:11" ht="10.5" customHeight="1">
      <c r="A190" s="482"/>
      <c r="B190" s="518" t="s">
        <v>397</v>
      </c>
      <c r="C190" s="467">
        <v>190</v>
      </c>
      <c r="D190" s="496">
        <f>C190/total</f>
        <v>0.29457364341085274</v>
      </c>
      <c r="E190" s="522">
        <f>C190/(total-q19hn)</f>
        <v>0.297339593114241</v>
      </c>
      <c r="F190" s="482"/>
      <c r="G190" s="465"/>
      <c r="H190" s="465"/>
      <c r="I190" s="465"/>
      <c r="J190" s="465"/>
      <c r="K190" s="468"/>
    </row>
    <row r="191" spans="1:11" ht="10.5" customHeight="1">
      <c r="A191" s="482"/>
      <c r="B191" s="518" t="s">
        <v>398</v>
      </c>
      <c r="C191" s="467">
        <v>333</v>
      </c>
      <c r="D191" s="496">
        <f>C191/total</f>
        <v>0.5162790697674419</v>
      </c>
      <c r="E191" s="522">
        <f>C191/(total-q19hn)</f>
        <v>0.5211267605633803</v>
      </c>
      <c r="F191" s="482"/>
      <c r="G191" s="465"/>
      <c r="H191" s="465"/>
      <c r="I191" s="465"/>
      <c r="J191" s="465"/>
      <c r="K191" s="468"/>
    </row>
    <row r="192" spans="1:11" ht="10.5" customHeight="1">
      <c r="A192" s="499"/>
      <c r="B192" s="523" t="s">
        <v>18</v>
      </c>
      <c r="C192" s="500">
        <v>8</v>
      </c>
      <c r="D192" s="502">
        <f>C192/total</f>
        <v>0.012403100775193798</v>
      </c>
      <c r="E192" s="507" t="s">
        <v>19</v>
      </c>
      <c r="F192" s="482"/>
      <c r="G192" s="465"/>
      <c r="H192" s="465"/>
      <c r="I192" s="465"/>
      <c r="J192" s="465"/>
      <c r="K192" s="468"/>
    </row>
    <row r="193" spans="1:11" ht="10.5" customHeight="1">
      <c r="A193" s="497" t="s">
        <v>367</v>
      </c>
      <c r="B193" s="518" t="s">
        <v>406</v>
      </c>
      <c r="C193" s="467"/>
      <c r="D193" s="496"/>
      <c r="E193" s="524"/>
      <c r="F193" s="495"/>
      <c r="G193" s="467"/>
      <c r="H193" s="467"/>
      <c r="I193" s="465"/>
      <c r="J193" s="465"/>
      <c r="K193" s="468"/>
    </row>
    <row r="194" spans="1:11" ht="10.5" customHeight="1">
      <c r="A194" s="482"/>
      <c r="B194" s="518" t="s">
        <v>396</v>
      </c>
      <c r="C194" s="467">
        <v>383</v>
      </c>
      <c r="D194" s="496">
        <f>C194/total</f>
        <v>0.5937984496124031</v>
      </c>
      <c r="E194" s="522">
        <f>C194/(total-q19hn)</f>
        <v>0.5993740219092332</v>
      </c>
      <c r="F194" s="482"/>
      <c r="G194" s="465"/>
      <c r="H194" s="465"/>
      <c r="I194" s="465"/>
      <c r="J194" s="465"/>
      <c r="K194" s="468"/>
    </row>
    <row r="195" spans="1:11" ht="10.5" customHeight="1">
      <c r="A195" s="482"/>
      <c r="B195" s="518" t="s">
        <v>397</v>
      </c>
      <c r="C195" s="467">
        <v>166</v>
      </c>
      <c r="D195" s="496">
        <f>C195/total</f>
        <v>0.25736434108527134</v>
      </c>
      <c r="E195" s="522">
        <f>C195/(total-q19hn)</f>
        <v>0.2597809076682316</v>
      </c>
      <c r="F195" s="482"/>
      <c r="G195" s="465"/>
      <c r="H195" s="465"/>
      <c r="I195" s="465"/>
      <c r="J195" s="465"/>
      <c r="K195" s="468"/>
    </row>
    <row r="196" spans="1:11" ht="10.5" customHeight="1">
      <c r="A196" s="482"/>
      <c r="B196" s="518" t="s">
        <v>398</v>
      </c>
      <c r="C196" s="467">
        <v>90</v>
      </c>
      <c r="D196" s="496">
        <f>C196/total</f>
        <v>0.13953488372093023</v>
      </c>
      <c r="E196" s="522">
        <f>C196/(total-q19hn)</f>
        <v>0.14084507042253522</v>
      </c>
      <c r="F196" s="482"/>
      <c r="G196" s="465"/>
      <c r="H196" s="465"/>
      <c r="I196" s="465"/>
      <c r="J196" s="465"/>
      <c r="K196" s="468"/>
    </row>
    <row r="197" spans="1:11" ht="10.5" customHeight="1">
      <c r="A197" s="485"/>
      <c r="B197" s="472" t="s">
        <v>18</v>
      </c>
      <c r="C197" s="471">
        <v>6</v>
      </c>
      <c r="D197" s="512">
        <f>C197/total</f>
        <v>0.009302325581395349</v>
      </c>
      <c r="E197" s="513" t="s">
        <v>19</v>
      </c>
      <c r="F197" s="485"/>
      <c r="G197" s="470"/>
      <c r="H197" s="470"/>
      <c r="I197" s="470"/>
      <c r="J197" s="470"/>
      <c r="K197" s="486"/>
    </row>
    <row r="198" spans="1:11" ht="12.75">
      <c r="A198" s="458" t="s">
        <v>337</v>
      </c>
      <c r="B198" s="459"/>
      <c r="C198" s="460"/>
      <c r="D198" s="510"/>
      <c r="E198" s="510"/>
      <c r="F198" s="461"/>
      <c r="G198" s="461"/>
      <c r="H198" s="461"/>
      <c r="I198" s="461"/>
      <c r="J198" s="461"/>
      <c r="K198" s="462" t="s">
        <v>407</v>
      </c>
    </row>
    <row r="199" spans="1:11" ht="12.75">
      <c r="A199" s="464" t="s">
        <v>313</v>
      </c>
      <c r="B199" s="465"/>
      <c r="C199" s="466"/>
      <c r="D199" s="466"/>
      <c r="E199" s="466"/>
      <c r="F199" s="467"/>
      <c r="G199" s="467"/>
      <c r="H199" s="467"/>
      <c r="I199" s="467"/>
      <c r="J199" s="467"/>
      <c r="K199" s="468"/>
    </row>
    <row r="200" spans="1:11" ht="12.75">
      <c r="A200" s="6" t="s">
        <v>339</v>
      </c>
      <c r="B200" s="465"/>
      <c r="C200" s="466"/>
      <c r="D200" s="466"/>
      <c r="E200" s="466"/>
      <c r="F200" s="467"/>
      <c r="G200" s="467"/>
      <c r="H200" s="467"/>
      <c r="I200" s="467"/>
      <c r="J200" s="467"/>
      <c r="K200" s="468"/>
    </row>
    <row r="201" spans="1:15" ht="12.75">
      <c r="A201" s="469" t="s">
        <v>340</v>
      </c>
      <c r="B201" s="470"/>
      <c r="C201" s="470"/>
      <c r="D201" s="470"/>
      <c r="E201" s="470"/>
      <c r="F201" s="470"/>
      <c r="G201" s="470"/>
      <c r="H201" s="471"/>
      <c r="I201" s="471"/>
      <c r="J201" s="471"/>
      <c r="K201" s="472"/>
      <c r="L201" s="473"/>
      <c r="M201" s="474"/>
      <c r="N201" s="473"/>
      <c r="O201" s="473"/>
    </row>
    <row r="202" spans="1:11" ht="18" customHeight="1">
      <c r="A202" s="475"/>
      <c r="B202" s="476"/>
      <c r="C202" s="525" t="s">
        <v>153</v>
      </c>
      <c r="D202" s="526"/>
      <c r="E202" s="526"/>
      <c r="F202" s="525" t="s">
        <v>154</v>
      </c>
      <c r="G202" s="526"/>
      <c r="H202" s="526"/>
      <c r="I202" s="478"/>
      <c r="J202" s="459"/>
      <c r="K202" s="476"/>
    </row>
    <row r="203" spans="1:11" ht="11.25">
      <c r="A203" s="482"/>
      <c r="B203" s="468"/>
      <c r="C203" s="527"/>
      <c r="D203" s="528" t="s">
        <v>5</v>
      </c>
      <c r="E203" s="528" t="s">
        <v>5</v>
      </c>
      <c r="F203" s="527"/>
      <c r="G203" s="528" t="s">
        <v>5</v>
      </c>
      <c r="H203" s="528" t="s">
        <v>5</v>
      </c>
      <c r="I203" s="482"/>
      <c r="J203" s="465"/>
      <c r="K203" s="468"/>
    </row>
    <row r="204" spans="1:11" ht="11.25" customHeight="1">
      <c r="A204" s="480"/>
      <c r="B204" s="481" t="s">
        <v>408</v>
      </c>
      <c r="C204" s="529"/>
      <c r="D204" s="530" t="s">
        <v>7</v>
      </c>
      <c r="E204" s="530" t="s">
        <v>8</v>
      </c>
      <c r="F204" s="529"/>
      <c r="G204" s="530" t="s">
        <v>7</v>
      </c>
      <c r="H204" s="530" t="s">
        <v>8</v>
      </c>
      <c r="I204" s="482"/>
      <c r="J204" s="465"/>
      <c r="K204" s="468"/>
    </row>
    <row r="205" spans="1:11" ht="11.25">
      <c r="A205" s="485"/>
      <c r="B205" s="486"/>
      <c r="C205" s="531" t="s">
        <v>9</v>
      </c>
      <c r="D205" s="532" t="s">
        <v>10</v>
      </c>
      <c r="E205" s="532" t="s">
        <v>10</v>
      </c>
      <c r="F205" s="531" t="s">
        <v>9</v>
      </c>
      <c r="G205" s="532" t="s">
        <v>10</v>
      </c>
      <c r="H205" s="532" t="s">
        <v>10</v>
      </c>
      <c r="I205" s="482"/>
      <c r="J205" s="465"/>
      <c r="K205" s="468"/>
    </row>
    <row r="206" spans="1:11" ht="17.25" customHeight="1">
      <c r="A206" s="533" t="s">
        <v>11</v>
      </c>
      <c r="B206" s="534"/>
      <c r="C206" s="533">
        <v>211</v>
      </c>
      <c r="D206" s="535">
        <v>1</v>
      </c>
      <c r="E206" s="535"/>
      <c r="F206" s="533">
        <v>434</v>
      </c>
      <c r="G206" s="535">
        <v>1</v>
      </c>
      <c r="H206" s="536"/>
      <c r="I206" s="465"/>
      <c r="J206" s="465"/>
      <c r="K206" s="468"/>
    </row>
    <row r="207" spans="1:11" ht="11.25">
      <c r="A207" s="493" t="s">
        <v>341</v>
      </c>
      <c r="B207" s="494" t="s">
        <v>342</v>
      </c>
      <c r="C207" s="495"/>
      <c r="D207" s="496"/>
      <c r="E207" s="468"/>
      <c r="F207" s="495"/>
      <c r="G207" s="496"/>
      <c r="H207" s="459"/>
      <c r="I207" s="482"/>
      <c r="J207" s="465"/>
      <c r="K207" s="468"/>
    </row>
    <row r="208" spans="1:11" ht="11.25">
      <c r="A208" s="497" t="s">
        <v>343</v>
      </c>
      <c r="B208" s="467" t="s">
        <v>344</v>
      </c>
      <c r="C208" s="482"/>
      <c r="D208" s="465"/>
      <c r="E208" s="468"/>
      <c r="F208" s="482"/>
      <c r="G208" s="465"/>
      <c r="H208" s="465"/>
      <c r="I208" s="482"/>
      <c r="J208" s="465"/>
      <c r="K208" s="468"/>
    </row>
    <row r="209" spans="1:11" ht="11.25">
      <c r="A209" s="482"/>
      <c r="B209" s="467" t="s">
        <v>345</v>
      </c>
      <c r="C209" s="495">
        <v>28</v>
      </c>
      <c r="D209" s="496">
        <f aca="true" t="shared" si="16" ref="D209:D214">C209/totalm</f>
        <v>0.13270142180094788</v>
      </c>
      <c r="E209" s="522">
        <f>C209/(totalm-q15anm)</f>
        <v>0.1346153846153846</v>
      </c>
      <c r="F209" s="495">
        <v>54</v>
      </c>
      <c r="G209" s="496">
        <f aca="true" t="shared" si="17" ref="G209:G214">F209/totalf</f>
        <v>0.12442396313364056</v>
      </c>
      <c r="H209" s="496">
        <f>F209/(totalf-q15anf)</f>
        <v>0.125</v>
      </c>
      <c r="I209" s="482"/>
      <c r="J209" s="465"/>
      <c r="K209" s="468"/>
    </row>
    <row r="210" spans="1:11" ht="11.25">
      <c r="A210" s="482"/>
      <c r="B210" s="467" t="s">
        <v>346</v>
      </c>
      <c r="C210" s="495">
        <v>116</v>
      </c>
      <c r="D210" s="496">
        <f t="shared" si="16"/>
        <v>0.5497630331753555</v>
      </c>
      <c r="E210" s="522">
        <f>C210/(totalm-q15anm)</f>
        <v>0.5576923076923077</v>
      </c>
      <c r="F210" s="495">
        <v>207</v>
      </c>
      <c r="G210" s="496">
        <f t="shared" si="17"/>
        <v>0.4769585253456221</v>
      </c>
      <c r="H210" s="496">
        <f>F210/(totalf-q15anf)</f>
        <v>0.4791666666666667</v>
      </c>
      <c r="I210" s="482"/>
      <c r="J210" s="465"/>
      <c r="K210" s="468"/>
    </row>
    <row r="211" spans="1:11" ht="11.25">
      <c r="A211" s="482"/>
      <c r="B211" s="467" t="s">
        <v>347</v>
      </c>
      <c r="C211" s="495">
        <v>52</v>
      </c>
      <c r="D211" s="496">
        <f t="shared" si="16"/>
        <v>0.24644549763033174</v>
      </c>
      <c r="E211" s="522">
        <f>C211/(totalm-q15anm)</f>
        <v>0.25</v>
      </c>
      <c r="F211" s="495">
        <v>135</v>
      </c>
      <c r="G211" s="496">
        <f t="shared" si="17"/>
        <v>0.31105990783410137</v>
      </c>
      <c r="H211" s="496">
        <f>F211/(totalf-q15anf)</f>
        <v>0.3125</v>
      </c>
      <c r="I211" s="482"/>
      <c r="J211" s="465"/>
      <c r="K211" s="468"/>
    </row>
    <row r="212" spans="1:11" ht="11.25">
      <c r="A212" s="482"/>
      <c r="B212" s="467" t="s">
        <v>348</v>
      </c>
      <c r="C212" s="495">
        <v>9</v>
      </c>
      <c r="D212" s="496">
        <f t="shared" si="16"/>
        <v>0.04265402843601896</v>
      </c>
      <c r="E212" s="522">
        <f>C212/(totalm-q15anm)</f>
        <v>0.04326923076923077</v>
      </c>
      <c r="F212" s="495">
        <v>30</v>
      </c>
      <c r="G212" s="496">
        <f t="shared" si="17"/>
        <v>0.06912442396313365</v>
      </c>
      <c r="H212" s="496">
        <f>F212/(totalf-q15anf)</f>
        <v>0.06944444444444445</v>
      </c>
      <c r="I212" s="482"/>
      <c r="J212" s="465"/>
      <c r="K212" s="468"/>
    </row>
    <row r="213" spans="1:11" ht="11.25">
      <c r="A213" s="482"/>
      <c r="B213" s="467" t="s">
        <v>349</v>
      </c>
      <c r="C213" s="495">
        <v>3</v>
      </c>
      <c r="D213" s="496">
        <f t="shared" si="16"/>
        <v>0.014218009478672985</v>
      </c>
      <c r="E213" s="522">
        <f>C213/(totalm-q15anm)</f>
        <v>0.014423076923076924</v>
      </c>
      <c r="F213" s="495">
        <v>6</v>
      </c>
      <c r="G213" s="496">
        <f t="shared" si="17"/>
        <v>0.013824884792626729</v>
      </c>
      <c r="H213" s="496">
        <f>F213/(totalf-q15anf)</f>
        <v>0.013888888888888888</v>
      </c>
      <c r="I213" s="482"/>
      <c r="J213" s="465"/>
      <c r="K213" s="468"/>
    </row>
    <row r="214" spans="1:11" ht="11.25">
      <c r="A214" s="499"/>
      <c r="B214" s="500" t="s">
        <v>18</v>
      </c>
      <c r="C214" s="501">
        <v>3</v>
      </c>
      <c r="D214" s="502">
        <f t="shared" si="16"/>
        <v>0.014218009478672985</v>
      </c>
      <c r="E214" s="507" t="s">
        <v>19</v>
      </c>
      <c r="F214" s="501">
        <v>2</v>
      </c>
      <c r="G214" s="502">
        <f t="shared" si="17"/>
        <v>0.004608294930875576</v>
      </c>
      <c r="H214" s="503" t="s">
        <v>19</v>
      </c>
      <c r="I214" s="482"/>
      <c r="J214" s="465"/>
      <c r="K214" s="468"/>
    </row>
    <row r="215" spans="1:11" ht="11.25">
      <c r="A215" s="504" t="s">
        <v>350</v>
      </c>
      <c r="B215" s="467" t="s">
        <v>351</v>
      </c>
      <c r="C215" s="495"/>
      <c r="D215" s="496"/>
      <c r="E215" s="537"/>
      <c r="F215" s="482"/>
      <c r="G215" s="505"/>
      <c r="H215" s="505"/>
      <c r="I215" s="482"/>
      <c r="J215" s="465"/>
      <c r="K215" s="468"/>
    </row>
    <row r="216" spans="1:11" ht="11.25">
      <c r="A216" s="482"/>
      <c r="B216" s="467" t="s">
        <v>345</v>
      </c>
      <c r="C216" s="495">
        <v>22</v>
      </c>
      <c r="D216" s="496">
        <f aca="true" t="shared" si="18" ref="D216:D221">C216/totalm</f>
        <v>0.10426540284360189</v>
      </c>
      <c r="E216" s="522">
        <f>C216/(totalm-q15bnm)</f>
        <v>0.10679611650485436</v>
      </c>
      <c r="F216" s="495">
        <v>53</v>
      </c>
      <c r="G216" s="496">
        <f aca="true" t="shared" si="19" ref="G216:G221">F216/totalf</f>
        <v>0.12211981566820276</v>
      </c>
      <c r="H216" s="496">
        <f>F216/(totalf-q15bnf)</f>
        <v>0.12240184757505773</v>
      </c>
      <c r="I216" s="482"/>
      <c r="J216" s="465"/>
      <c r="K216" s="468"/>
    </row>
    <row r="217" spans="1:11" ht="11.25">
      <c r="A217" s="482"/>
      <c r="B217" s="467" t="s">
        <v>346</v>
      </c>
      <c r="C217" s="495">
        <v>73</v>
      </c>
      <c r="D217" s="496">
        <f t="shared" si="18"/>
        <v>0.3459715639810427</v>
      </c>
      <c r="E217" s="522">
        <f>C217/(totalm-q15bnm)</f>
        <v>0.35436893203883496</v>
      </c>
      <c r="F217" s="495">
        <v>163</v>
      </c>
      <c r="G217" s="496">
        <f t="shared" si="19"/>
        <v>0.37557603686635943</v>
      </c>
      <c r="H217" s="496">
        <f>F217/(totalf-q15bnf)</f>
        <v>0.37644341801385683</v>
      </c>
      <c r="I217" s="482"/>
      <c r="J217" s="465"/>
      <c r="K217" s="468"/>
    </row>
    <row r="218" spans="1:11" ht="11.25">
      <c r="A218" s="482"/>
      <c r="B218" s="467" t="s">
        <v>347</v>
      </c>
      <c r="C218" s="495">
        <v>69</v>
      </c>
      <c r="D218" s="496">
        <f t="shared" si="18"/>
        <v>0.32701421800947866</v>
      </c>
      <c r="E218" s="522">
        <f>C218/(totalm-q15bnm)</f>
        <v>0.33495145631067963</v>
      </c>
      <c r="F218" s="495">
        <v>145</v>
      </c>
      <c r="G218" s="496">
        <f t="shared" si="19"/>
        <v>0.33410138248847926</v>
      </c>
      <c r="H218" s="496">
        <f>F218/(totalf-q15bnf)</f>
        <v>0.3348729792147806</v>
      </c>
      <c r="I218" s="482"/>
      <c r="J218" s="465"/>
      <c r="K218" s="468"/>
    </row>
    <row r="219" spans="1:11" ht="11.25">
      <c r="A219" s="482"/>
      <c r="B219" s="467" t="s">
        <v>348</v>
      </c>
      <c r="C219" s="495">
        <v>26</v>
      </c>
      <c r="D219" s="496">
        <f t="shared" si="18"/>
        <v>0.12322274881516587</v>
      </c>
      <c r="E219" s="522">
        <f>C219/(totalm-q15bnm)</f>
        <v>0.1262135922330097</v>
      </c>
      <c r="F219" s="495">
        <v>51</v>
      </c>
      <c r="G219" s="496">
        <f t="shared" si="19"/>
        <v>0.1175115207373272</v>
      </c>
      <c r="H219" s="496">
        <f>F219/(totalf-q15bnf)</f>
        <v>0.11778290993071594</v>
      </c>
      <c r="I219" s="482"/>
      <c r="J219" s="465"/>
      <c r="K219" s="468"/>
    </row>
    <row r="220" spans="1:11" ht="11.25">
      <c r="A220" s="482"/>
      <c r="B220" s="467" t="s">
        <v>349</v>
      </c>
      <c r="C220" s="495">
        <v>16</v>
      </c>
      <c r="D220" s="496">
        <f t="shared" si="18"/>
        <v>0.07582938388625593</v>
      </c>
      <c r="E220" s="522">
        <f>C220/(totalm-q15bnm)</f>
        <v>0.07766990291262135</v>
      </c>
      <c r="F220" s="495">
        <v>21</v>
      </c>
      <c r="G220" s="496">
        <f t="shared" si="19"/>
        <v>0.04838709677419355</v>
      </c>
      <c r="H220" s="496">
        <f>F220/(totalf-q15bnf)</f>
        <v>0.04849884526558892</v>
      </c>
      <c r="I220" s="482"/>
      <c r="J220" s="465"/>
      <c r="K220" s="468"/>
    </row>
    <row r="221" spans="1:11" ht="11.25">
      <c r="A221" s="499"/>
      <c r="B221" s="500" t="s">
        <v>18</v>
      </c>
      <c r="C221" s="501">
        <v>5</v>
      </c>
      <c r="D221" s="502">
        <f t="shared" si="18"/>
        <v>0.023696682464454975</v>
      </c>
      <c r="E221" s="507" t="s">
        <v>19</v>
      </c>
      <c r="F221" s="501">
        <v>1</v>
      </c>
      <c r="G221" s="502">
        <f t="shared" si="19"/>
        <v>0.002304147465437788</v>
      </c>
      <c r="H221" s="503" t="s">
        <v>19</v>
      </c>
      <c r="I221" s="482"/>
      <c r="J221" s="465"/>
      <c r="K221" s="468"/>
    </row>
    <row r="222" spans="1:11" ht="11.25">
      <c r="A222" s="504" t="s">
        <v>352</v>
      </c>
      <c r="B222" s="467" t="s">
        <v>353</v>
      </c>
      <c r="C222" s="495"/>
      <c r="D222" s="496"/>
      <c r="E222" s="537"/>
      <c r="F222" s="482"/>
      <c r="G222" s="505"/>
      <c r="H222" s="505"/>
      <c r="I222" s="482"/>
      <c r="J222" s="465"/>
      <c r="K222" s="468"/>
    </row>
    <row r="223" spans="1:11" ht="11.25">
      <c r="A223" s="504"/>
      <c r="B223" s="467" t="s">
        <v>354</v>
      </c>
      <c r="C223" s="495"/>
      <c r="D223" s="496"/>
      <c r="E223" s="505"/>
      <c r="F223" s="482"/>
      <c r="G223" s="465"/>
      <c r="H223" s="465"/>
      <c r="I223" s="482"/>
      <c r="J223" s="465"/>
      <c r="K223" s="468"/>
    </row>
    <row r="224" spans="1:11" ht="11.25">
      <c r="A224" s="482"/>
      <c r="B224" s="467" t="s">
        <v>345</v>
      </c>
      <c r="C224" s="495">
        <v>40</v>
      </c>
      <c r="D224" s="496">
        <f aca="true" t="shared" si="20" ref="D224:D229">C224/totalm</f>
        <v>0.1895734597156398</v>
      </c>
      <c r="E224" s="522">
        <f>C224/(totalm-q15cnm)</f>
        <v>0.1932367149758454</v>
      </c>
      <c r="F224" s="495">
        <v>112</v>
      </c>
      <c r="G224" s="496">
        <f aca="true" t="shared" si="21" ref="G224:G229">F224/totalf</f>
        <v>0.25806451612903225</v>
      </c>
      <c r="H224" s="496">
        <f>F224/(totalf-q15cnf)</f>
        <v>0.25925925925925924</v>
      </c>
      <c r="I224" s="482"/>
      <c r="J224" s="465"/>
      <c r="K224" s="468"/>
    </row>
    <row r="225" spans="1:11" ht="11.25">
      <c r="A225" s="482"/>
      <c r="B225" s="467" t="s">
        <v>346</v>
      </c>
      <c r="C225" s="495">
        <v>82</v>
      </c>
      <c r="D225" s="496">
        <f t="shared" si="20"/>
        <v>0.3886255924170616</v>
      </c>
      <c r="E225" s="522">
        <f>C225/(totalm-q15cnm)</f>
        <v>0.3961352657004831</v>
      </c>
      <c r="F225" s="495">
        <v>165</v>
      </c>
      <c r="G225" s="496">
        <f t="shared" si="21"/>
        <v>0.38018433179723504</v>
      </c>
      <c r="H225" s="496">
        <f>F225/(totalf-q15cnf)</f>
        <v>0.3819444444444444</v>
      </c>
      <c r="I225" s="482"/>
      <c r="J225" s="465"/>
      <c r="K225" s="468"/>
    </row>
    <row r="226" spans="1:11" ht="11.25">
      <c r="A226" s="482"/>
      <c r="B226" s="467" t="s">
        <v>347</v>
      </c>
      <c r="C226" s="495">
        <v>59</v>
      </c>
      <c r="D226" s="496">
        <f t="shared" si="20"/>
        <v>0.2796208530805687</v>
      </c>
      <c r="E226" s="522">
        <f>C226/(totalm-q15cnm)</f>
        <v>0.28502415458937197</v>
      </c>
      <c r="F226" s="495">
        <v>112</v>
      </c>
      <c r="G226" s="496">
        <f t="shared" si="21"/>
        <v>0.25806451612903225</v>
      </c>
      <c r="H226" s="496">
        <f>F226/(totalf-q15cnf)</f>
        <v>0.25925925925925924</v>
      </c>
      <c r="I226" s="482"/>
      <c r="J226" s="465"/>
      <c r="K226" s="468"/>
    </row>
    <row r="227" spans="1:11" ht="11.25">
      <c r="A227" s="482"/>
      <c r="B227" s="467" t="s">
        <v>348</v>
      </c>
      <c r="C227" s="495">
        <v>17</v>
      </c>
      <c r="D227" s="496">
        <f t="shared" si="20"/>
        <v>0.08056872037914692</v>
      </c>
      <c r="E227" s="522">
        <f>C227/(totalm-q15cnm)</f>
        <v>0.0821256038647343</v>
      </c>
      <c r="F227" s="495">
        <v>33</v>
      </c>
      <c r="G227" s="496">
        <f t="shared" si="21"/>
        <v>0.07603686635944701</v>
      </c>
      <c r="H227" s="496">
        <f>F227/(totalf-q15cnf)</f>
        <v>0.0763888888888889</v>
      </c>
      <c r="I227" s="482"/>
      <c r="J227" s="465"/>
      <c r="K227" s="468"/>
    </row>
    <row r="228" spans="1:11" ht="11.25">
      <c r="A228" s="482"/>
      <c r="B228" s="467" t="s">
        <v>349</v>
      </c>
      <c r="C228" s="495">
        <v>9</v>
      </c>
      <c r="D228" s="496">
        <f t="shared" si="20"/>
        <v>0.04265402843601896</v>
      </c>
      <c r="E228" s="522">
        <f>C228/(totalm-q15cnm)</f>
        <v>0.043478260869565216</v>
      </c>
      <c r="F228" s="495">
        <v>10</v>
      </c>
      <c r="G228" s="496">
        <f t="shared" si="21"/>
        <v>0.02304147465437788</v>
      </c>
      <c r="H228" s="496">
        <f>F228/(totalf-q15cnf)</f>
        <v>0.023148148148148147</v>
      </c>
      <c r="I228" s="482"/>
      <c r="J228" s="465"/>
      <c r="K228" s="468"/>
    </row>
    <row r="229" spans="1:11" ht="11.25">
      <c r="A229" s="499"/>
      <c r="B229" s="500" t="s">
        <v>18</v>
      </c>
      <c r="C229" s="501">
        <v>4</v>
      </c>
      <c r="D229" s="502">
        <f t="shared" si="20"/>
        <v>0.018957345971563982</v>
      </c>
      <c r="E229" s="507" t="s">
        <v>19</v>
      </c>
      <c r="F229" s="501">
        <v>2</v>
      </c>
      <c r="G229" s="502">
        <f t="shared" si="21"/>
        <v>0.004608294930875576</v>
      </c>
      <c r="H229" s="503" t="s">
        <v>19</v>
      </c>
      <c r="I229" s="482"/>
      <c r="J229" s="465"/>
      <c r="K229" s="468"/>
    </row>
    <row r="230" spans="1:11" ht="11.25">
      <c r="A230" s="504" t="s">
        <v>355</v>
      </c>
      <c r="B230" s="467" t="s">
        <v>356</v>
      </c>
      <c r="C230" s="495"/>
      <c r="D230" s="496"/>
      <c r="E230" s="537"/>
      <c r="F230" s="482"/>
      <c r="G230" s="505"/>
      <c r="H230" s="538"/>
      <c r="I230" s="482"/>
      <c r="J230" s="465"/>
      <c r="K230" s="468"/>
    </row>
    <row r="231" spans="1:11" ht="11.25">
      <c r="A231" s="482"/>
      <c r="B231" s="467" t="s">
        <v>345</v>
      </c>
      <c r="C231" s="495">
        <v>11</v>
      </c>
      <c r="D231" s="496">
        <f aca="true" t="shared" si="22" ref="D231:D236">C231/totalm</f>
        <v>0.052132701421800945</v>
      </c>
      <c r="E231" s="522">
        <f>C231/(totalm-q15dnm)</f>
        <v>0.05314009661835749</v>
      </c>
      <c r="F231" s="495">
        <v>32</v>
      </c>
      <c r="G231" s="496">
        <f aca="true" t="shared" si="23" ref="G231:G236">F231/totalf</f>
        <v>0.07373271889400922</v>
      </c>
      <c r="H231" s="496">
        <f>F231/(totalf-q15dnf)</f>
        <v>0.07424593967517401</v>
      </c>
      <c r="I231" s="482"/>
      <c r="J231" s="465"/>
      <c r="K231" s="468"/>
    </row>
    <row r="232" spans="1:11" ht="11.25">
      <c r="A232" s="482"/>
      <c r="B232" s="467" t="s">
        <v>346</v>
      </c>
      <c r="C232" s="495">
        <v>41</v>
      </c>
      <c r="D232" s="496">
        <f t="shared" si="22"/>
        <v>0.1943127962085308</v>
      </c>
      <c r="E232" s="522">
        <f>C232/(totalm-q15dnm)</f>
        <v>0.19806763285024154</v>
      </c>
      <c r="F232" s="495">
        <v>84</v>
      </c>
      <c r="G232" s="496">
        <f t="shared" si="23"/>
        <v>0.1935483870967742</v>
      </c>
      <c r="H232" s="496">
        <f>F232/(totalf-q15dnf)</f>
        <v>0.19489559164733178</v>
      </c>
      <c r="I232" s="482"/>
      <c r="J232" s="465"/>
      <c r="K232" s="468"/>
    </row>
    <row r="233" spans="1:11" ht="11.25">
      <c r="A233" s="482"/>
      <c r="B233" s="467" t="s">
        <v>347</v>
      </c>
      <c r="C233" s="495">
        <v>81</v>
      </c>
      <c r="D233" s="496">
        <f t="shared" si="22"/>
        <v>0.38388625592417064</v>
      </c>
      <c r="E233" s="522">
        <f>C233/(totalm-q15dnm)</f>
        <v>0.391304347826087</v>
      </c>
      <c r="F233" s="495">
        <v>160</v>
      </c>
      <c r="G233" s="496">
        <f t="shared" si="23"/>
        <v>0.3686635944700461</v>
      </c>
      <c r="H233" s="496">
        <f>F233/(totalf-q15dnf)</f>
        <v>0.37122969837587005</v>
      </c>
      <c r="I233" s="482"/>
      <c r="J233" s="465"/>
      <c r="K233" s="468"/>
    </row>
    <row r="234" spans="1:11" ht="11.25">
      <c r="A234" s="482"/>
      <c r="B234" s="467" t="s">
        <v>348</v>
      </c>
      <c r="C234" s="495">
        <v>44</v>
      </c>
      <c r="D234" s="496">
        <f t="shared" si="22"/>
        <v>0.20853080568720378</v>
      </c>
      <c r="E234" s="522">
        <f>C234/(totalm-q15dnm)</f>
        <v>0.21256038647342995</v>
      </c>
      <c r="F234" s="495">
        <v>96</v>
      </c>
      <c r="G234" s="496">
        <f t="shared" si="23"/>
        <v>0.22119815668202766</v>
      </c>
      <c r="H234" s="496">
        <f>F234/(totalf-q15dnf)</f>
        <v>0.22273781902552203</v>
      </c>
      <c r="I234" s="482"/>
      <c r="J234" s="465"/>
      <c r="K234" s="468"/>
    </row>
    <row r="235" spans="1:11" ht="11.25">
      <c r="A235" s="482"/>
      <c r="B235" s="467" t="s">
        <v>349</v>
      </c>
      <c r="C235" s="495">
        <v>30</v>
      </c>
      <c r="D235" s="496">
        <f t="shared" si="22"/>
        <v>0.14218009478672985</v>
      </c>
      <c r="E235" s="522">
        <f>C235/(totalm-q15dnm)</f>
        <v>0.14492753623188406</v>
      </c>
      <c r="F235" s="495">
        <v>59</v>
      </c>
      <c r="G235" s="496">
        <f t="shared" si="23"/>
        <v>0.1359447004608295</v>
      </c>
      <c r="H235" s="496">
        <f>F235/(totalf-q15dnf)</f>
        <v>0.1368909512761021</v>
      </c>
      <c r="I235" s="482"/>
      <c r="J235" s="465"/>
      <c r="K235" s="468"/>
    </row>
    <row r="236" spans="1:11" ht="11.25">
      <c r="A236" s="499"/>
      <c r="B236" s="500" t="s">
        <v>18</v>
      </c>
      <c r="C236" s="501">
        <v>4</v>
      </c>
      <c r="D236" s="502">
        <f t="shared" si="22"/>
        <v>0.018957345971563982</v>
      </c>
      <c r="E236" s="507" t="s">
        <v>19</v>
      </c>
      <c r="F236" s="501">
        <v>3</v>
      </c>
      <c r="G236" s="502">
        <f t="shared" si="23"/>
        <v>0.0069124423963133645</v>
      </c>
      <c r="H236" s="503" t="s">
        <v>19</v>
      </c>
      <c r="I236" s="482"/>
      <c r="J236" s="465"/>
      <c r="K236" s="468"/>
    </row>
    <row r="237" spans="1:11" ht="11.25">
      <c r="A237" s="504" t="s">
        <v>357</v>
      </c>
      <c r="B237" s="467" t="s">
        <v>358</v>
      </c>
      <c r="C237" s="495"/>
      <c r="D237" s="496"/>
      <c r="E237" s="537"/>
      <c r="F237" s="482"/>
      <c r="G237" s="505"/>
      <c r="H237" s="505"/>
      <c r="I237" s="482"/>
      <c r="J237" s="465"/>
      <c r="K237" s="468"/>
    </row>
    <row r="238" spans="1:11" ht="11.25">
      <c r="A238" s="482"/>
      <c r="B238" s="467" t="s">
        <v>345</v>
      </c>
      <c r="C238" s="495">
        <v>19</v>
      </c>
      <c r="D238" s="496">
        <f aca="true" t="shared" si="24" ref="D238:D243">C238/totalm</f>
        <v>0.09004739336492891</v>
      </c>
      <c r="E238" s="522">
        <f>C238/(totalm-q15enm)</f>
        <v>0.09178743961352658</v>
      </c>
      <c r="F238" s="495">
        <v>48</v>
      </c>
      <c r="G238" s="496">
        <f aca="true" t="shared" si="25" ref="G238:G243">F238/totalf</f>
        <v>0.11059907834101383</v>
      </c>
      <c r="H238" s="496">
        <f>F238/(totalf-q15enf)</f>
        <v>0.11162790697674418</v>
      </c>
      <c r="I238" s="482"/>
      <c r="J238" s="465"/>
      <c r="K238" s="468"/>
    </row>
    <row r="239" spans="1:11" ht="11.25">
      <c r="A239" s="482"/>
      <c r="B239" s="467" t="s">
        <v>346</v>
      </c>
      <c r="C239" s="495">
        <v>72</v>
      </c>
      <c r="D239" s="496">
        <f t="shared" si="24"/>
        <v>0.3412322274881517</v>
      </c>
      <c r="E239" s="522">
        <f>C239/(totalm-q15enm)</f>
        <v>0.34782608695652173</v>
      </c>
      <c r="F239" s="495">
        <v>129</v>
      </c>
      <c r="G239" s="496">
        <f t="shared" si="25"/>
        <v>0.29723502304147464</v>
      </c>
      <c r="H239" s="496">
        <f>F239/(totalf-q15enf)</f>
        <v>0.3</v>
      </c>
      <c r="I239" s="482"/>
      <c r="J239" s="465"/>
      <c r="K239" s="468"/>
    </row>
    <row r="240" spans="1:11" ht="11.25">
      <c r="A240" s="482"/>
      <c r="B240" s="467" t="s">
        <v>347</v>
      </c>
      <c r="C240" s="495">
        <v>64</v>
      </c>
      <c r="D240" s="496">
        <f t="shared" si="24"/>
        <v>0.3033175355450237</v>
      </c>
      <c r="E240" s="522">
        <f>C240/(totalm-q15enm)</f>
        <v>0.30917874396135264</v>
      </c>
      <c r="F240" s="495">
        <v>153</v>
      </c>
      <c r="G240" s="496">
        <f t="shared" si="25"/>
        <v>0.35253456221198154</v>
      </c>
      <c r="H240" s="496">
        <f>F240/(totalf-q15enf)</f>
        <v>0.3558139534883721</v>
      </c>
      <c r="I240" s="482"/>
      <c r="J240" s="465"/>
      <c r="K240" s="468"/>
    </row>
    <row r="241" spans="1:11" ht="11.25">
      <c r="A241" s="482"/>
      <c r="B241" s="467" t="s">
        <v>348</v>
      </c>
      <c r="C241" s="495">
        <v>34</v>
      </c>
      <c r="D241" s="496">
        <f t="shared" si="24"/>
        <v>0.16113744075829384</v>
      </c>
      <c r="E241" s="522">
        <f>C241/(totalm-q15enm)</f>
        <v>0.1642512077294686</v>
      </c>
      <c r="F241" s="495">
        <v>66</v>
      </c>
      <c r="G241" s="496">
        <f t="shared" si="25"/>
        <v>0.15207373271889402</v>
      </c>
      <c r="H241" s="496">
        <f>F241/(totalf-q15enf)</f>
        <v>0.15348837209302327</v>
      </c>
      <c r="I241" s="482"/>
      <c r="J241" s="465"/>
      <c r="K241" s="468"/>
    </row>
    <row r="242" spans="1:11" ht="11.25">
      <c r="A242" s="482"/>
      <c r="B242" s="467" t="s">
        <v>349</v>
      </c>
      <c r="C242" s="495">
        <v>18</v>
      </c>
      <c r="D242" s="496">
        <f t="shared" si="24"/>
        <v>0.08530805687203792</v>
      </c>
      <c r="E242" s="522">
        <f>C242/(totalm-q15enm)</f>
        <v>0.08695652173913043</v>
      </c>
      <c r="F242" s="495">
        <v>34</v>
      </c>
      <c r="G242" s="496">
        <f t="shared" si="25"/>
        <v>0.07834101382488479</v>
      </c>
      <c r="H242" s="496">
        <f>F242/(totalf-q15enf)</f>
        <v>0.07906976744186046</v>
      </c>
      <c r="I242" s="482"/>
      <c r="J242" s="465"/>
      <c r="K242" s="468"/>
    </row>
    <row r="243" spans="1:11" ht="11.25">
      <c r="A243" s="499"/>
      <c r="B243" s="500" t="s">
        <v>18</v>
      </c>
      <c r="C243" s="501">
        <v>4</v>
      </c>
      <c r="D243" s="502">
        <f t="shared" si="24"/>
        <v>0.018957345971563982</v>
      </c>
      <c r="E243" s="507" t="s">
        <v>19</v>
      </c>
      <c r="F243" s="501">
        <v>4</v>
      </c>
      <c r="G243" s="502">
        <f t="shared" si="25"/>
        <v>0.009216589861751152</v>
      </c>
      <c r="H243" s="507" t="s">
        <v>19</v>
      </c>
      <c r="I243" s="499"/>
      <c r="J243" s="508"/>
      <c r="K243" s="509"/>
    </row>
    <row r="244" spans="1:11" ht="0.75" customHeight="1">
      <c r="A244" s="482"/>
      <c r="B244" s="467"/>
      <c r="C244" s="467"/>
      <c r="D244" s="496"/>
      <c r="E244" s="483"/>
      <c r="F244" s="467"/>
      <c r="G244" s="496"/>
      <c r="H244" s="483"/>
      <c r="I244" s="465"/>
      <c r="J244" s="465"/>
      <c r="K244" s="468"/>
    </row>
    <row r="245" spans="1:11" ht="12.75">
      <c r="A245" s="458" t="s">
        <v>337</v>
      </c>
      <c r="B245" s="459"/>
      <c r="C245" s="460"/>
      <c r="D245" s="510"/>
      <c r="E245" s="510"/>
      <c r="F245" s="461"/>
      <c r="G245" s="516"/>
      <c r="H245" s="516"/>
      <c r="I245" s="461"/>
      <c r="J245" s="461"/>
      <c r="K245" s="462" t="s">
        <v>409</v>
      </c>
    </row>
    <row r="246" spans="1:11" ht="12.75">
      <c r="A246" s="464" t="s">
        <v>313</v>
      </c>
      <c r="B246" s="465"/>
      <c r="C246" s="466"/>
      <c r="D246" s="466"/>
      <c r="E246" s="466"/>
      <c r="F246" s="467"/>
      <c r="G246" s="467"/>
      <c r="H246" s="467"/>
      <c r="I246" s="467"/>
      <c r="J246" s="467"/>
      <c r="K246" s="468"/>
    </row>
    <row r="247" spans="1:11" ht="12.75">
      <c r="A247" s="6" t="s">
        <v>339</v>
      </c>
      <c r="B247" s="465"/>
      <c r="C247" s="466"/>
      <c r="D247" s="466"/>
      <c r="E247" s="466"/>
      <c r="F247" s="467"/>
      <c r="G247" s="467"/>
      <c r="H247" s="467"/>
      <c r="I247" s="467"/>
      <c r="J247" s="467"/>
      <c r="K247" s="468"/>
    </row>
    <row r="248" spans="1:15" ht="12.75">
      <c r="A248" s="469" t="s">
        <v>340</v>
      </c>
      <c r="B248" s="470"/>
      <c r="C248" s="470"/>
      <c r="D248" s="470"/>
      <c r="E248" s="470"/>
      <c r="F248" s="470"/>
      <c r="G248" s="470"/>
      <c r="H248" s="471"/>
      <c r="I248" s="467"/>
      <c r="J248" s="467"/>
      <c r="K248" s="518"/>
      <c r="L248" s="473"/>
      <c r="M248" s="474"/>
      <c r="N248" s="473"/>
      <c r="O248" s="473"/>
    </row>
    <row r="249" spans="1:11" ht="18" customHeight="1">
      <c r="A249" s="475"/>
      <c r="B249" s="476"/>
      <c r="C249" s="525" t="s">
        <v>153</v>
      </c>
      <c r="D249" s="526"/>
      <c r="E249" s="526"/>
      <c r="F249" s="525" t="s">
        <v>154</v>
      </c>
      <c r="G249" s="526"/>
      <c r="H249" s="526"/>
      <c r="I249" s="478"/>
      <c r="J249" s="459"/>
      <c r="K249" s="476"/>
    </row>
    <row r="250" spans="1:11" ht="11.25">
      <c r="A250" s="482"/>
      <c r="B250" s="468"/>
      <c r="C250" s="527"/>
      <c r="D250" s="528" t="s">
        <v>5</v>
      </c>
      <c r="E250" s="528" t="s">
        <v>5</v>
      </c>
      <c r="F250" s="527"/>
      <c r="G250" s="528" t="s">
        <v>5</v>
      </c>
      <c r="H250" s="528" t="s">
        <v>5</v>
      </c>
      <c r="I250" s="482"/>
      <c r="J250" s="465"/>
      <c r="K250" s="468"/>
    </row>
    <row r="251" spans="1:11" ht="11.25" customHeight="1">
      <c r="A251" s="480"/>
      <c r="B251" s="481" t="s">
        <v>408</v>
      </c>
      <c r="C251" s="529"/>
      <c r="D251" s="530" t="s">
        <v>7</v>
      </c>
      <c r="E251" s="530" t="s">
        <v>8</v>
      </c>
      <c r="F251" s="529"/>
      <c r="G251" s="530" t="s">
        <v>7</v>
      </c>
      <c r="H251" s="530" t="s">
        <v>8</v>
      </c>
      <c r="I251" s="482"/>
      <c r="J251" s="465"/>
      <c r="K251" s="468"/>
    </row>
    <row r="252" spans="1:11" ht="11.25">
      <c r="A252" s="485"/>
      <c r="B252" s="486"/>
      <c r="C252" s="531" t="s">
        <v>9</v>
      </c>
      <c r="D252" s="532" t="s">
        <v>10</v>
      </c>
      <c r="E252" s="532" t="s">
        <v>10</v>
      </c>
      <c r="F252" s="531" t="s">
        <v>9</v>
      </c>
      <c r="G252" s="532" t="s">
        <v>10</v>
      </c>
      <c r="H252" s="532" t="s">
        <v>10</v>
      </c>
      <c r="I252" s="482"/>
      <c r="J252" s="465"/>
      <c r="K252" s="468"/>
    </row>
    <row r="253" spans="1:11" ht="11.25">
      <c r="A253" s="504" t="s">
        <v>361</v>
      </c>
      <c r="B253" s="467" t="s">
        <v>362</v>
      </c>
      <c r="C253" s="495"/>
      <c r="D253" s="496"/>
      <c r="E253" s="537"/>
      <c r="F253" s="482"/>
      <c r="G253" s="505"/>
      <c r="H253" s="505"/>
      <c r="I253" s="482"/>
      <c r="J253" s="465"/>
      <c r="K253" s="468"/>
    </row>
    <row r="254" spans="1:11" ht="11.25">
      <c r="A254" s="482"/>
      <c r="B254" s="467" t="s">
        <v>345</v>
      </c>
      <c r="C254" s="495">
        <v>34</v>
      </c>
      <c r="D254" s="496">
        <f aca="true" t="shared" si="26" ref="D254:D259">C254/totalm</f>
        <v>0.16113744075829384</v>
      </c>
      <c r="E254" s="522">
        <f>C254/(totalm-q15fnm)</f>
        <v>0.1642512077294686</v>
      </c>
      <c r="F254" s="495">
        <v>62</v>
      </c>
      <c r="G254" s="496">
        <f aca="true" t="shared" si="27" ref="G254:G259">F254/totalf</f>
        <v>0.14285714285714285</v>
      </c>
      <c r="H254" s="496">
        <f>F254/(totalf-q15fnf)</f>
        <v>0.14351851851851852</v>
      </c>
      <c r="I254" s="482"/>
      <c r="J254" s="465"/>
      <c r="K254" s="468"/>
    </row>
    <row r="255" spans="1:11" ht="11.25">
      <c r="A255" s="482"/>
      <c r="B255" s="467" t="s">
        <v>346</v>
      </c>
      <c r="C255" s="495">
        <v>98</v>
      </c>
      <c r="D255" s="496">
        <f t="shared" si="26"/>
        <v>0.46445497630331756</v>
      </c>
      <c r="E255" s="522">
        <f>C255/(totalm-q15fnm)</f>
        <v>0.47342995169082125</v>
      </c>
      <c r="F255" s="495">
        <v>208</v>
      </c>
      <c r="G255" s="496">
        <f t="shared" si="27"/>
        <v>0.4792626728110599</v>
      </c>
      <c r="H255" s="496">
        <f>F255/(totalf-q15fnf)</f>
        <v>0.48148148148148145</v>
      </c>
      <c r="I255" s="482"/>
      <c r="J255" s="465"/>
      <c r="K255" s="468"/>
    </row>
    <row r="256" spans="1:11" ht="11.25">
      <c r="A256" s="482"/>
      <c r="B256" s="467" t="s">
        <v>347</v>
      </c>
      <c r="C256" s="495">
        <v>61</v>
      </c>
      <c r="D256" s="496">
        <f t="shared" si="26"/>
        <v>0.2890995260663507</v>
      </c>
      <c r="E256" s="522">
        <f>C256/(totalm-q15fnm)</f>
        <v>0.2946859903381642</v>
      </c>
      <c r="F256" s="495">
        <v>122</v>
      </c>
      <c r="G256" s="496">
        <f t="shared" si="27"/>
        <v>0.28110599078341014</v>
      </c>
      <c r="H256" s="496">
        <f>F256/(totalf-q15fnf)</f>
        <v>0.2824074074074074</v>
      </c>
      <c r="I256" s="482"/>
      <c r="J256" s="465"/>
      <c r="K256" s="468"/>
    </row>
    <row r="257" spans="1:11" ht="11.25">
      <c r="A257" s="482"/>
      <c r="B257" s="467" t="s">
        <v>348</v>
      </c>
      <c r="C257" s="495">
        <v>9</v>
      </c>
      <c r="D257" s="496">
        <f t="shared" si="26"/>
        <v>0.04265402843601896</v>
      </c>
      <c r="E257" s="522">
        <f>C257/(totalm-q15fnm)</f>
        <v>0.043478260869565216</v>
      </c>
      <c r="F257" s="495">
        <v>32</v>
      </c>
      <c r="G257" s="496">
        <f t="shared" si="27"/>
        <v>0.07373271889400922</v>
      </c>
      <c r="H257" s="496">
        <f>F257/(totalf-q15fnf)</f>
        <v>0.07407407407407407</v>
      </c>
      <c r="I257" s="482"/>
      <c r="J257" s="465"/>
      <c r="K257" s="468"/>
    </row>
    <row r="258" spans="1:11" ht="11.25">
      <c r="A258" s="482"/>
      <c r="B258" s="467" t="s">
        <v>349</v>
      </c>
      <c r="C258" s="495">
        <v>5</v>
      </c>
      <c r="D258" s="496">
        <f t="shared" si="26"/>
        <v>0.023696682464454975</v>
      </c>
      <c r="E258" s="522">
        <f>C258/(totalm-q15fnm)</f>
        <v>0.024154589371980676</v>
      </c>
      <c r="F258" s="495">
        <v>8</v>
      </c>
      <c r="G258" s="496">
        <f t="shared" si="27"/>
        <v>0.018433179723502304</v>
      </c>
      <c r="H258" s="496">
        <f>F258/(totalf-q15fnf)</f>
        <v>0.018518518518518517</v>
      </c>
      <c r="I258" s="482"/>
      <c r="J258" s="465"/>
      <c r="K258" s="468"/>
    </row>
    <row r="259" spans="1:11" ht="11.25">
      <c r="A259" s="499"/>
      <c r="B259" s="500" t="s">
        <v>18</v>
      </c>
      <c r="C259" s="501">
        <v>4</v>
      </c>
      <c r="D259" s="502">
        <f t="shared" si="26"/>
        <v>0.018957345971563982</v>
      </c>
      <c r="E259" s="507" t="s">
        <v>19</v>
      </c>
      <c r="F259" s="501">
        <v>2</v>
      </c>
      <c r="G259" s="502">
        <f t="shared" si="27"/>
        <v>0.004608294930875576</v>
      </c>
      <c r="H259" s="503" t="s">
        <v>19</v>
      </c>
      <c r="I259" s="482"/>
      <c r="J259" s="465"/>
      <c r="K259" s="468"/>
    </row>
    <row r="260" spans="1:11" ht="11.25">
      <c r="A260" s="504" t="s">
        <v>363</v>
      </c>
      <c r="B260" s="467" t="s">
        <v>364</v>
      </c>
      <c r="C260" s="495"/>
      <c r="D260" s="496"/>
      <c r="E260" s="537"/>
      <c r="F260" s="482"/>
      <c r="G260" s="505"/>
      <c r="H260" s="505"/>
      <c r="I260" s="482"/>
      <c r="J260" s="465"/>
      <c r="K260" s="468"/>
    </row>
    <row r="261" spans="1:11" ht="11.25">
      <c r="A261" s="482"/>
      <c r="B261" s="467" t="s">
        <v>345</v>
      </c>
      <c r="C261" s="495">
        <v>37</v>
      </c>
      <c r="D261" s="496">
        <f aca="true" t="shared" si="28" ref="D261:D266">C261/totalm</f>
        <v>0.17535545023696683</v>
      </c>
      <c r="E261" s="522">
        <f>C261/(totalm-q15gnm)</f>
        <v>0.1796116504854369</v>
      </c>
      <c r="F261" s="495">
        <v>76</v>
      </c>
      <c r="G261" s="496">
        <f aca="true" t="shared" si="29" ref="G261:G266">F261/totalf</f>
        <v>0.17511520737327188</v>
      </c>
      <c r="H261" s="496">
        <f>F261/(totalf-q15gnf)</f>
        <v>0.17633410672853828</v>
      </c>
      <c r="I261" s="482"/>
      <c r="J261" s="465"/>
      <c r="K261" s="468"/>
    </row>
    <row r="262" spans="1:11" ht="11.25">
      <c r="A262" s="482"/>
      <c r="B262" s="467" t="s">
        <v>346</v>
      </c>
      <c r="C262" s="495">
        <v>103</v>
      </c>
      <c r="D262" s="496">
        <f t="shared" si="28"/>
        <v>0.4881516587677725</v>
      </c>
      <c r="E262" s="522">
        <f>C262/(totalm-q15gnm)</f>
        <v>0.5</v>
      </c>
      <c r="F262" s="495">
        <v>211</v>
      </c>
      <c r="G262" s="496">
        <f t="shared" si="29"/>
        <v>0.4861751152073733</v>
      </c>
      <c r="H262" s="496">
        <f>F262/(totalf-q15gnf)</f>
        <v>0.4895591647331787</v>
      </c>
      <c r="I262" s="482"/>
      <c r="J262" s="465"/>
      <c r="K262" s="468"/>
    </row>
    <row r="263" spans="1:11" ht="11.25">
      <c r="A263" s="482"/>
      <c r="B263" s="467" t="s">
        <v>347</v>
      </c>
      <c r="C263" s="495">
        <v>54</v>
      </c>
      <c r="D263" s="496">
        <f t="shared" si="28"/>
        <v>0.2559241706161137</v>
      </c>
      <c r="E263" s="522">
        <f>C263/(totalm-q15gnm)</f>
        <v>0.2621359223300971</v>
      </c>
      <c r="F263" s="495">
        <v>109</v>
      </c>
      <c r="G263" s="496">
        <f t="shared" si="29"/>
        <v>0.2511520737327189</v>
      </c>
      <c r="H263" s="496">
        <f>F263/(totalf-q15gnf)</f>
        <v>0.2529002320185615</v>
      </c>
      <c r="I263" s="482"/>
      <c r="J263" s="465"/>
      <c r="K263" s="468"/>
    </row>
    <row r="264" spans="1:11" ht="11.25">
      <c r="A264" s="482"/>
      <c r="B264" s="467" t="s">
        <v>348</v>
      </c>
      <c r="C264" s="495">
        <v>10</v>
      </c>
      <c r="D264" s="496">
        <f t="shared" si="28"/>
        <v>0.04739336492890995</v>
      </c>
      <c r="E264" s="522">
        <f>C264/(totalm-q15gnm)</f>
        <v>0.04854368932038835</v>
      </c>
      <c r="F264" s="495">
        <v>26</v>
      </c>
      <c r="G264" s="496">
        <f t="shared" si="29"/>
        <v>0.059907834101382486</v>
      </c>
      <c r="H264" s="496">
        <f>F264/(totalf-q15gnf)</f>
        <v>0.060324825986078884</v>
      </c>
      <c r="I264" s="482"/>
      <c r="J264" s="465"/>
      <c r="K264" s="468"/>
    </row>
    <row r="265" spans="1:11" ht="11.25">
      <c r="A265" s="482"/>
      <c r="B265" s="467" t="s">
        <v>349</v>
      </c>
      <c r="C265" s="495">
        <v>2</v>
      </c>
      <c r="D265" s="496">
        <f t="shared" si="28"/>
        <v>0.009478672985781991</v>
      </c>
      <c r="E265" s="522">
        <f>C265/(totalm-q15gnm)</f>
        <v>0.009708737864077669</v>
      </c>
      <c r="F265" s="495">
        <v>9</v>
      </c>
      <c r="G265" s="496">
        <f t="shared" si="29"/>
        <v>0.020737327188940093</v>
      </c>
      <c r="H265" s="496">
        <f>F265/(totalf-q15gnf)</f>
        <v>0.02088167053364269</v>
      </c>
      <c r="I265" s="482"/>
      <c r="J265" s="465"/>
      <c r="K265" s="468"/>
    </row>
    <row r="266" spans="1:11" ht="11.25">
      <c r="A266" s="499"/>
      <c r="B266" s="500" t="s">
        <v>18</v>
      </c>
      <c r="C266" s="501">
        <v>5</v>
      </c>
      <c r="D266" s="502">
        <f t="shared" si="28"/>
        <v>0.023696682464454975</v>
      </c>
      <c r="E266" s="507" t="s">
        <v>19</v>
      </c>
      <c r="F266" s="501">
        <v>3</v>
      </c>
      <c r="G266" s="502">
        <f t="shared" si="29"/>
        <v>0.0069124423963133645</v>
      </c>
      <c r="H266" s="503" t="s">
        <v>19</v>
      </c>
      <c r="I266" s="482"/>
      <c r="J266" s="465"/>
      <c r="K266" s="468"/>
    </row>
    <row r="267" spans="1:11" ht="11.25">
      <c r="A267" s="504" t="s">
        <v>365</v>
      </c>
      <c r="B267" s="467" t="s">
        <v>366</v>
      </c>
      <c r="C267" s="495"/>
      <c r="D267" s="496"/>
      <c r="E267" s="537"/>
      <c r="F267" s="482"/>
      <c r="G267" s="505"/>
      <c r="H267" s="505"/>
      <c r="I267" s="482"/>
      <c r="J267" s="465"/>
      <c r="K267" s="468"/>
    </row>
    <row r="268" spans="1:11" ht="11.25">
      <c r="A268" s="482"/>
      <c r="B268" s="467" t="s">
        <v>345</v>
      </c>
      <c r="C268" s="495">
        <v>40</v>
      </c>
      <c r="D268" s="496">
        <f aca="true" t="shared" si="30" ref="D268:D273">C268/totalm</f>
        <v>0.1895734597156398</v>
      </c>
      <c r="E268" s="522">
        <f>C268/(totalm-q15hnm)</f>
        <v>0.1932367149758454</v>
      </c>
      <c r="F268" s="495">
        <v>67</v>
      </c>
      <c r="G268" s="496">
        <f aca="true" t="shared" si="31" ref="G268:G273">F268/totalf</f>
        <v>0.1543778801843318</v>
      </c>
      <c r="H268" s="496">
        <f>F268/(totalf-q15hnf)</f>
        <v>0.1550925925925926</v>
      </c>
      <c r="I268" s="482"/>
      <c r="J268" s="465"/>
      <c r="K268" s="468"/>
    </row>
    <row r="269" spans="1:11" ht="11.25">
      <c r="A269" s="482"/>
      <c r="B269" s="467" t="s">
        <v>346</v>
      </c>
      <c r="C269" s="495">
        <v>104</v>
      </c>
      <c r="D269" s="496">
        <f t="shared" si="30"/>
        <v>0.4928909952606635</v>
      </c>
      <c r="E269" s="522">
        <f>C269/(totalm-q15hnm)</f>
        <v>0.5024154589371981</v>
      </c>
      <c r="F269" s="495">
        <v>197</v>
      </c>
      <c r="G269" s="496">
        <f t="shared" si="31"/>
        <v>0.4539170506912442</v>
      </c>
      <c r="H269" s="496">
        <f>F269/(totalf-q15hnf)</f>
        <v>0.45601851851851855</v>
      </c>
      <c r="I269" s="482"/>
      <c r="J269" s="465"/>
      <c r="K269" s="468"/>
    </row>
    <row r="270" spans="1:11" ht="11.25">
      <c r="A270" s="482"/>
      <c r="B270" s="467" t="s">
        <v>347</v>
      </c>
      <c r="C270" s="495">
        <v>47</v>
      </c>
      <c r="D270" s="496">
        <f t="shared" si="30"/>
        <v>0.22274881516587677</v>
      </c>
      <c r="E270" s="522">
        <f>C270/(totalm-q15hnm)</f>
        <v>0.22705314009661837</v>
      </c>
      <c r="F270" s="495">
        <v>127</v>
      </c>
      <c r="G270" s="496">
        <f t="shared" si="31"/>
        <v>0.2926267281105991</v>
      </c>
      <c r="H270" s="496">
        <f>F270/(totalf-q15hnf)</f>
        <v>0.29398148148148145</v>
      </c>
      <c r="I270" s="482"/>
      <c r="J270" s="465"/>
      <c r="K270" s="468"/>
    </row>
    <row r="271" spans="1:11" ht="11.25">
      <c r="A271" s="482"/>
      <c r="B271" s="467" t="s">
        <v>348</v>
      </c>
      <c r="C271" s="495">
        <v>13</v>
      </c>
      <c r="D271" s="496">
        <f t="shared" si="30"/>
        <v>0.061611374407582936</v>
      </c>
      <c r="E271" s="522">
        <f>C271/(totalm-q15hnm)</f>
        <v>0.06280193236714976</v>
      </c>
      <c r="F271" s="495">
        <v>32</v>
      </c>
      <c r="G271" s="496">
        <f t="shared" si="31"/>
        <v>0.07373271889400922</v>
      </c>
      <c r="H271" s="496">
        <f>F271/(totalf-q15hnf)</f>
        <v>0.07407407407407407</v>
      </c>
      <c r="I271" s="482"/>
      <c r="J271" s="465"/>
      <c r="K271" s="468"/>
    </row>
    <row r="272" spans="1:11" ht="11.25">
      <c r="A272" s="482"/>
      <c r="B272" s="467" t="s">
        <v>349</v>
      </c>
      <c r="C272" s="495">
        <v>3</v>
      </c>
      <c r="D272" s="496">
        <f t="shared" si="30"/>
        <v>0.014218009478672985</v>
      </c>
      <c r="E272" s="522">
        <f>C272/(totalm-q15hnm)</f>
        <v>0.014492753623188406</v>
      </c>
      <c r="F272" s="495">
        <v>9</v>
      </c>
      <c r="G272" s="496">
        <f t="shared" si="31"/>
        <v>0.020737327188940093</v>
      </c>
      <c r="H272" s="496">
        <f>F272/(totalf-q15hnf)</f>
        <v>0.020833333333333332</v>
      </c>
      <c r="I272" s="482"/>
      <c r="J272" s="465"/>
      <c r="K272" s="468"/>
    </row>
    <row r="273" spans="1:11" ht="11.25">
      <c r="A273" s="499"/>
      <c r="B273" s="500" t="s">
        <v>18</v>
      </c>
      <c r="C273" s="501">
        <v>4</v>
      </c>
      <c r="D273" s="502">
        <f t="shared" si="30"/>
        <v>0.018957345971563982</v>
      </c>
      <c r="E273" s="507" t="s">
        <v>19</v>
      </c>
      <c r="F273" s="501">
        <v>2</v>
      </c>
      <c r="G273" s="502">
        <f t="shared" si="31"/>
        <v>0.004608294930875576</v>
      </c>
      <c r="H273" s="503" t="s">
        <v>19</v>
      </c>
      <c r="I273" s="482"/>
      <c r="J273" s="465"/>
      <c r="K273" s="468"/>
    </row>
    <row r="274" spans="1:11" ht="11.25">
      <c r="A274" s="504" t="s">
        <v>367</v>
      </c>
      <c r="B274" s="467" t="s">
        <v>368</v>
      </c>
      <c r="C274" s="495"/>
      <c r="D274" s="496"/>
      <c r="E274" s="537"/>
      <c r="F274" s="482"/>
      <c r="G274" s="505"/>
      <c r="H274" s="505"/>
      <c r="I274" s="482"/>
      <c r="J274" s="465"/>
      <c r="K274" s="468"/>
    </row>
    <row r="275" spans="1:11" ht="11.25">
      <c r="A275" s="482"/>
      <c r="B275" s="467" t="s">
        <v>345</v>
      </c>
      <c r="C275" s="495">
        <v>23</v>
      </c>
      <c r="D275" s="496">
        <f aca="true" t="shared" si="32" ref="D275:D280">C275/totalm</f>
        <v>0.10900473933649289</v>
      </c>
      <c r="E275" s="522">
        <f>C275/(totalm-q15inm)</f>
        <v>0.1111111111111111</v>
      </c>
      <c r="F275" s="495">
        <v>49</v>
      </c>
      <c r="G275" s="496">
        <f aca="true" t="shared" si="33" ref="G275:G280">F275/totalf</f>
        <v>0.11290322580645161</v>
      </c>
      <c r="H275" s="496">
        <f>F275/(totalf-q15inf)</f>
        <v>0.11342592592592593</v>
      </c>
      <c r="I275" s="482"/>
      <c r="J275" s="465"/>
      <c r="K275" s="468"/>
    </row>
    <row r="276" spans="1:11" ht="11.25">
      <c r="A276" s="482"/>
      <c r="B276" s="467" t="s">
        <v>346</v>
      </c>
      <c r="C276" s="495">
        <v>92</v>
      </c>
      <c r="D276" s="496">
        <f t="shared" si="32"/>
        <v>0.43601895734597157</v>
      </c>
      <c r="E276" s="522">
        <f>C276/(totalm-q15inm)</f>
        <v>0.4444444444444444</v>
      </c>
      <c r="F276" s="495">
        <v>158</v>
      </c>
      <c r="G276" s="496">
        <f t="shared" si="33"/>
        <v>0.3640552995391705</v>
      </c>
      <c r="H276" s="496">
        <f>F276/(totalf-q15inf)</f>
        <v>0.36574074074074076</v>
      </c>
      <c r="I276" s="482"/>
      <c r="J276" s="465"/>
      <c r="K276" s="468"/>
    </row>
    <row r="277" spans="1:11" ht="11.25">
      <c r="A277" s="482"/>
      <c r="B277" s="467" t="s">
        <v>347</v>
      </c>
      <c r="C277" s="495">
        <v>63</v>
      </c>
      <c r="D277" s="496">
        <f t="shared" si="32"/>
        <v>0.2985781990521327</v>
      </c>
      <c r="E277" s="522">
        <f>C277/(totalm-q15inm)</f>
        <v>0.30434782608695654</v>
      </c>
      <c r="F277" s="495">
        <v>148</v>
      </c>
      <c r="G277" s="496">
        <f t="shared" si="33"/>
        <v>0.34101382488479265</v>
      </c>
      <c r="H277" s="496">
        <f>F277/(totalf-q15inf)</f>
        <v>0.3425925925925926</v>
      </c>
      <c r="I277" s="482"/>
      <c r="J277" s="465"/>
      <c r="K277" s="468"/>
    </row>
    <row r="278" spans="1:11" ht="11.25">
      <c r="A278" s="482"/>
      <c r="B278" s="467" t="s">
        <v>348</v>
      </c>
      <c r="C278" s="495">
        <v>18</v>
      </c>
      <c r="D278" s="496">
        <f t="shared" si="32"/>
        <v>0.08530805687203792</v>
      </c>
      <c r="E278" s="522">
        <f>C278/(totalm-q15inm)</f>
        <v>0.08695652173913043</v>
      </c>
      <c r="F278" s="495">
        <v>51</v>
      </c>
      <c r="G278" s="496">
        <f t="shared" si="33"/>
        <v>0.1175115207373272</v>
      </c>
      <c r="H278" s="496">
        <f>F278/(totalf-q15inf)</f>
        <v>0.11805555555555555</v>
      </c>
      <c r="I278" s="482"/>
      <c r="J278" s="465"/>
      <c r="K278" s="468"/>
    </row>
    <row r="279" spans="1:11" ht="11.25">
      <c r="A279" s="482"/>
      <c r="B279" s="467" t="s">
        <v>349</v>
      </c>
      <c r="C279" s="495">
        <v>11</v>
      </c>
      <c r="D279" s="496">
        <f t="shared" si="32"/>
        <v>0.052132701421800945</v>
      </c>
      <c r="E279" s="522">
        <f>C279/(totalm-q15inm)</f>
        <v>0.05314009661835749</v>
      </c>
      <c r="F279" s="495">
        <v>26</v>
      </c>
      <c r="G279" s="496">
        <f t="shared" si="33"/>
        <v>0.059907834101382486</v>
      </c>
      <c r="H279" s="496">
        <f>F279/(totalf-q15inf)</f>
        <v>0.06018518518518518</v>
      </c>
      <c r="I279" s="482"/>
      <c r="J279" s="465"/>
      <c r="K279" s="468"/>
    </row>
    <row r="280" spans="1:11" ht="11.25">
      <c r="A280" s="499"/>
      <c r="B280" s="500" t="s">
        <v>18</v>
      </c>
      <c r="C280" s="501">
        <v>4</v>
      </c>
      <c r="D280" s="502">
        <f t="shared" si="32"/>
        <v>0.018957345971563982</v>
      </c>
      <c r="E280" s="507" t="s">
        <v>19</v>
      </c>
      <c r="F280" s="501">
        <v>2</v>
      </c>
      <c r="G280" s="502">
        <f t="shared" si="33"/>
        <v>0.004608294930875576</v>
      </c>
      <c r="H280" s="503" t="s">
        <v>19</v>
      </c>
      <c r="I280" s="482"/>
      <c r="J280" s="465"/>
      <c r="K280" s="468"/>
    </row>
    <row r="281" spans="1:11" ht="11.25">
      <c r="A281" s="504" t="s">
        <v>369</v>
      </c>
      <c r="B281" s="467" t="s">
        <v>370</v>
      </c>
      <c r="C281" s="495"/>
      <c r="D281" s="496"/>
      <c r="E281" s="537"/>
      <c r="F281" s="482"/>
      <c r="G281" s="505"/>
      <c r="H281" s="505"/>
      <c r="I281" s="482"/>
      <c r="J281" s="465"/>
      <c r="K281" s="468"/>
    </row>
    <row r="282" spans="1:11" ht="11.25">
      <c r="A282" s="482"/>
      <c r="B282" s="467" t="s">
        <v>345</v>
      </c>
      <c r="C282" s="495">
        <v>47</v>
      </c>
      <c r="D282" s="496">
        <f aca="true" t="shared" si="34" ref="D282:D287">C282/totalm</f>
        <v>0.22274881516587677</v>
      </c>
      <c r="E282" s="522">
        <f>C282/(totalm-q15jnm)</f>
        <v>0.22705314009661837</v>
      </c>
      <c r="F282" s="495">
        <v>85</v>
      </c>
      <c r="G282" s="496">
        <f aca="true" t="shared" si="35" ref="G282:G287">F282/totalf</f>
        <v>0.195852534562212</v>
      </c>
      <c r="H282" s="496">
        <f>F282/(totalf-q15jnf)</f>
        <v>0.19767441860465115</v>
      </c>
      <c r="I282" s="482"/>
      <c r="J282" s="465"/>
      <c r="K282" s="468"/>
    </row>
    <row r="283" spans="1:11" ht="11.25">
      <c r="A283" s="482"/>
      <c r="B283" s="467" t="s">
        <v>346</v>
      </c>
      <c r="C283" s="495">
        <v>73</v>
      </c>
      <c r="D283" s="496">
        <f t="shared" si="34"/>
        <v>0.3459715639810427</v>
      </c>
      <c r="E283" s="522">
        <f>C283/(totalm-q15jnm)</f>
        <v>0.3526570048309179</v>
      </c>
      <c r="F283" s="495">
        <v>177</v>
      </c>
      <c r="G283" s="496">
        <f t="shared" si="35"/>
        <v>0.4078341013824885</v>
      </c>
      <c r="H283" s="496">
        <f>F283/(totalf-q15jnf)</f>
        <v>0.4116279069767442</v>
      </c>
      <c r="I283" s="482"/>
      <c r="J283" s="465"/>
      <c r="K283" s="468"/>
    </row>
    <row r="284" spans="1:11" ht="11.25">
      <c r="A284" s="482"/>
      <c r="B284" s="467" t="s">
        <v>347</v>
      </c>
      <c r="C284" s="495">
        <v>58</v>
      </c>
      <c r="D284" s="496">
        <f t="shared" si="34"/>
        <v>0.27488151658767773</v>
      </c>
      <c r="E284" s="522">
        <f>C284/(totalm-q15jnm)</f>
        <v>0.28019323671497587</v>
      </c>
      <c r="F284" s="495">
        <v>105</v>
      </c>
      <c r="G284" s="496">
        <f t="shared" si="35"/>
        <v>0.24193548387096775</v>
      </c>
      <c r="H284" s="496">
        <f>F284/(totalf-q15jnf)</f>
        <v>0.2441860465116279</v>
      </c>
      <c r="I284" s="482"/>
      <c r="J284" s="465"/>
      <c r="K284" s="468"/>
    </row>
    <row r="285" spans="1:11" ht="11.25">
      <c r="A285" s="482"/>
      <c r="B285" s="467" t="s">
        <v>348</v>
      </c>
      <c r="C285" s="495">
        <v>20</v>
      </c>
      <c r="D285" s="496">
        <f t="shared" si="34"/>
        <v>0.0947867298578199</v>
      </c>
      <c r="E285" s="522">
        <f>C285/(totalm-q15jnm)</f>
        <v>0.0966183574879227</v>
      </c>
      <c r="F285" s="495">
        <v>41</v>
      </c>
      <c r="G285" s="496">
        <f t="shared" si="35"/>
        <v>0.0944700460829493</v>
      </c>
      <c r="H285" s="496">
        <f>F285/(totalf-q15jnf)</f>
        <v>0.09534883720930233</v>
      </c>
      <c r="I285" s="482"/>
      <c r="J285" s="465"/>
      <c r="K285" s="468"/>
    </row>
    <row r="286" spans="1:11" ht="11.25">
      <c r="A286" s="482"/>
      <c r="B286" s="467" t="s">
        <v>349</v>
      </c>
      <c r="C286" s="495">
        <v>9</v>
      </c>
      <c r="D286" s="496">
        <f t="shared" si="34"/>
        <v>0.04265402843601896</v>
      </c>
      <c r="E286" s="522">
        <f>C286/(totalm-q15jnm)</f>
        <v>0.043478260869565216</v>
      </c>
      <c r="F286" s="495">
        <v>22</v>
      </c>
      <c r="G286" s="496">
        <f t="shared" si="35"/>
        <v>0.05069124423963134</v>
      </c>
      <c r="H286" s="496">
        <f>F286/(totalf-q15jnf)</f>
        <v>0.05116279069767442</v>
      </c>
      <c r="I286" s="482"/>
      <c r="J286" s="465"/>
      <c r="K286" s="468"/>
    </row>
    <row r="287" spans="1:11" ht="11.25">
      <c r="A287" s="499"/>
      <c r="B287" s="500" t="s">
        <v>18</v>
      </c>
      <c r="C287" s="501">
        <v>4</v>
      </c>
      <c r="D287" s="502">
        <f t="shared" si="34"/>
        <v>0.018957345971563982</v>
      </c>
      <c r="E287" s="507" t="s">
        <v>19</v>
      </c>
      <c r="F287" s="501">
        <v>4</v>
      </c>
      <c r="G287" s="502">
        <f t="shared" si="35"/>
        <v>0.009216589861751152</v>
      </c>
      <c r="H287" s="503" t="s">
        <v>19</v>
      </c>
      <c r="I287" s="499"/>
      <c r="J287" s="508"/>
      <c r="K287" s="509"/>
    </row>
    <row r="288" spans="1:11" ht="2.25" customHeight="1">
      <c r="A288" s="482"/>
      <c r="B288" s="467"/>
      <c r="C288" s="467"/>
      <c r="D288" s="496"/>
      <c r="E288" s="483"/>
      <c r="F288" s="467"/>
      <c r="G288" s="496"/>
      <c r="H288" s="483"/>
      <c r="I288" s="465"/>
      <c r="J288" s="465"/>
      <c r="K288" s="468"/>
    </row>
    <row r="289" spans="1:11" ht="12.75">
      <c r="A289" s="458" t="s">
        <v>337</v>
      </c>
      <c r="B289" s="459"/>
      <c r="C289" s="460"/>
      <c r="D289" s="510"/>
      <c r="E289" s="510"/>
      <c r="F289" s="461"/>
      <c r="G289" s="516"/>
      <c r="H289" s="516"/>
      <c r="I289" s="461"/>
      <c r="J289" s="461"/>
      <c r="K289" s="462" t="s">
        <v>410</v>
      </c>
    </row>
    <row r="290" spans="1:11" ht="12.75">
      <c r="A290" s="464" t="s">
        <v>313</v>
      </c>
      <c r="B290" s="465"/>
      <c r="C290" s="466"/>
      <c r="D290" s="466"/>
      <c r="E290" s="466"/>
      <c r="F290" s="467"/>
      <c r="G290" s="467"/>
      <c r="H290" s="467"/>
      <c r="I290" s="467"/>
      <c r="J290" s="467"/>
      <c r="K290" s="468"/>
    </row>
    <row r="291" spans="1:11" ht="12.75">
      <c r="A291" s="6" t="s">
        <v>339</v>
      </c>
      <c r="B291" s="465"/>
      <c r="C291" s="466"/>
      <c r="D291" s="466"/>
      <c r="E291" s="466"/>
      <c r="F291" s="467"/>
      <c r="G291" s="467"/>
      <c r="H291" s="467"/>
      <c r="I291" s="467"/>
      <c r="J291" s="467"/>
      <c r="K291" s="468"/>
    </row>
    <row r="292" spans="1:15" ht="12.75">
      <c r="A292" s="469" t="s">
        <v>340</v>
      </c>
      <c r="B292" s="470"/>
      <c r="C292" s="470"/>
      <c r="D292" s="470"/>
      <c r="E292" s="470"/>
      <c r="F292" s="470"/>
      <c r="G292" s="470"/>
      <c r="H292" s="471"/>
      <c r="I292" s="471"/>
      <c r="J292" s="471"/>
      <c r="K292" s="472"/>
      <c r="L292" s="473"/>
      <c r="M292" s="474"/>
      <c r="N292" s="473"/>
      <c r="O292" s="473"/>
    </row>
    <row r="293" spans="1:11" ht="18" customHeight="1">
      <c r="A293" s="475"/>
      <c r="B293" s="476"/>
      <c r="C293" s="525" t="s">
        <v>153</v>
      </c>
      <c r="D293" s="526"/>
      <c r="E293" s="526"/>
      <c r="F293" s="525" t="s">
        <v>154</v>
      </c>
      <c r="G293" s="526"/>
      <c r="H293" s="526"/>
      <c r="I293" s="478"/>
      <c r="J293" s="459"/>
      <c r="K293" s="476"/>
    </row>
    <row r="294" spans="1:11" ht="11.25">
      <c r="A294" s="482"/>
      <c r="B294" s="468"/>
      <c r="C294" s="527"/>
      <c r="D294" s="528" t="s">
        <v>5</v>
      </c>
      <c r="E294" s="528" t="s">
        <v>5</v>
      </c>
      <c r="F294" s="527"/>
      <c r="G294" s="528" t="s">
        <v>5</v>
      </c>
      <c r="H294" s="528" t="s">
        <v>5</v>
      </c>
      <c r="I294" s="482"/>
      <c r="J294" s="465"/>
      <c r="K294" s="468"/>
    </row>
    <row r="295" spans="1:11" ht="11.25" customHeight="1">
      <c r="A295" s="480"/>
      <c r="B295" s="481" t="s">
        <v>408</v>
      </c>
      <c r="C295" s="529"/>
      <c r="D295" s="530" t="s">
        <v>7</v>
      </c>
      <c r="E295" s="530" t="s">
        <v>8</v>
      </c>
      <c r="F295" s="529"/>
      <c r="G295" s="530" t="s">
        <v>7</v>
      </c>
      <c r="H295" s="530" t="s">
        <v>8</v>
      </c>
      <c r="I295" s="482"/>
      <c r="J295" s="465"/>
      <c r="K295" s="468"/>
    </row>
    <row r="296" spans="1:11" ht="11.25">
      <c r="A296" s="485"/>
      <c r="B296" s="486"/>
      <c r="C296" s="531" t="s">
        <v>9</v>
      </c>
      <c r="D296" s="532" t="s">
        <v>10</v>
      </c>
      <c r="E296" s="532" t="s">
        <v>10</v>
      </c>
      <c r="F296" s="531" t="s">
        <v>9</v>
      </c>
      <c r="G296" s="532" t="s">
        <v>10</v>
      </c>
      <c r="H296" s="532" t="s">
        <v>10</v>
      </c>
      <c r="I296" s="482"/>
      <c r="J296" s="465"/>
      <c r="K296" s="468"/>
    </row>
    <row r="297" spans="1:11" ht="11.25">
      <c r="A297" s="504" t="s">
        <v>371</v>
      </c>
      <c r="B297" s="467" t="s">
        <v>372</v>
      </c>
      <c r="C297" s="495"/>
      <c r="D297" s="496"/>
      <c r="E297" s="537"/>
      <c r="F297" s="482"/>
      <c r="G297" s="505"/>
      <c r="H297" s="505"/>
      <c r="I297" s="482"/>
      <c r="J297" s="465"/>
      <c r="K297" s="468"/>
    </row>
    <row r="298" spans="1:11" ht="11.25">
      <c r="A298" s="482"/>
      <c r="B298" s="467" t="s">
        <v>345</v>
      </c>
      <c r="C298" s="495">
        <v>54</v>
      </c>
      <c r="D298" s="496">
        <f aca="true" t="shared" si="36" ref="D298:D303">C298/totalm</f>
        <v>0.2559241706161137</v>
      </c>
      <c r="E298" s="522">
        <f>C298/(totalm-q15knm)</f>
        <v>0.2608695652173913</v>
      </c>
      <c r="F298" s="495">
        <v>105</v>
      </c>
      <c r="G298" s="496">
        <f aca="true" t="shared" si="37" ref="G298:G303">F298/totalf</f>
        <v>0.24193548387096775</v>
      </c>
      <c r="H298" s="496">
        <f>F298/(totalf-q15knf)</f>
        <v>0.24305555555555555</v>
      </c>
      <c r="I298" s="482"/>
      <c r="J298" s="465"/>
      <c r="K298" s="468"/>
    </row>
    <row r="299" spans="1:11" ht="11.25">
      <c r="A299" s="482"/>
      <c r="B299" s="467" t="s">
        <v>346</v>
      </c>
      <c r="C299" s="495">
        <v>86</v>
      </c>
      <c r="D299" s="496">
        <f t="shared" si="36"/>
        <v>0.4075829383886256</v>
      </c>
      <c r="E299" s="522">
        <f>C299/(totalm-q15knm)</f>
        <v>0.41545893719806765</v>
      </c>
      <c r="F299" s="495">
        <v>181</v>
      </c>
      <c r="G299" s="496">
        <f t="shared" si="37"/>
        <v>0.41705069124423966</v>
      </c>
      <c r="H299" s="496">
        <f>F299/(totalf-q15knf)</f>
        <v>0.41898148148148145</v>
      </c>
      <c r="I299" s="482"/>
      <c r="J299" s="465"/>
      <c r="K299" s="468"/>
    </row>
    <row r="300" spans="1:11" ht="11.25">
      <c r="A300" s="482"/>
      <c r="B300" s="467" t="s">
        <v>347</v>
      </c>
      <c r="C300" s="495">
        <v>47</v>
      </c>
      <c r="D300" s="496">
        <f t="shared" si="36"/>
        <v>0.22274881516587677</v>
      </c>
      <c r="E300" s="522">
        <f>C300/(totalm-q15knm)</f>
        <v>0.22705314009661837</v>
      </c>
      <c r="F300" s="495">
        <v>99</v>
      </c>
      <c r="G300" s="496">
        <f t="shared" si="37"/>
        <v>0.22811059907834103</v>
      </c>
      <c r="H300" s="496">
        <f>F300/(totalf-q15knf)</f>
        <v>0.22916666666666666</v>
      </c>
      <c r="I300" s="482"/>
      <c r="J300" s="465"/>
      <c r="K300" s="468"/>
    </row>
    <row r="301" spans="1:11" ht="11.25">
      <c r="A301" s="482"/>
      <c r="B301" s="467" t="s">
        <v>348</v>
      </c>
      <c r="C301" s="495">
        <v>14</v>
      </c>
      <c r="D301" s="496">
        <f t="shared" si="36"/>
        <v>0.06635071090047394</v>
      </c>
      <c r="E301" s="522">
        <f>C301/(totalm-q15knm)</f>
        <v>0.06763285024154589</v>
      </c>
      <c r="F301" s="495">
        <v>30</v>
      </c>
      <c r="G301" s="496">
        <f t="shared" si="37"/>
        <v>0.06912442396313365</v>
      </c>
      <c r="H301" s="496">
        <f>F301/(totalf-q15knf)</f>
        <v>0.06944444444444445</v>
      </c>
      <c r="I301" s="482"/>
      <c r="J301" s="465"/>
      <c r="K301" s="468"/>
    </row>
    <row r="302" spans="1:11" ht="11.25">
      <c r="A302" s="482"/>
      <c r="B302" s="467" t="s">
        <v>349</v>
      </c>
      <c r="C302" s="495">
        <v>6</v>
      </c>
      <c r="D302" s="496">
        <f t="shared" si="36"/>
        <v>0.02843601895734597</v>
      </c>
      <c r="E302" s="522">
        <f>C302/(totalm-q15knm)</f>
        <v>0.028985507246376812</v>
      </c>
      <c r="F302" s="495">
        <v>17</v>
      </c>
      <c r="G302" s="496">
        <f t="shared" si="37"/>
        <v>0.03917050691244239</v>
      </c>
      <c r="H302" s="496">
        <f>F302/(totalf-q15knf)</f>
        <v>0.03935185185185185</v>
      </c>
      <c r="I302" s="482"/>
      <c r="J302" s="465"/>
      <c r="K302" s="468"/>
    </row>
    <row r="303" spans="1:11" ht="11.25">
      <c r="A303" s="499"/>
      <c r="B303" s="500" t="s">
        <v>18</v>
      </c>
      <c r="C303" s="501">
        <v>4</v>
      </c>
      <c r="D303" s="502">
        <f t="shared" si="36"/>
        <v>0.018957345971563982</v>
      </c>
      <c r="E303" s="507" t="s">
        <v>19</v>
      </c>
      <c r="F303" s="501">
        <v>2</v>
      </c>
      <c r="G303" s="502">
        <f t="shared" si="37"/>
        <v>0.004608294930875576</v>
      </c>
      <c r="H303" s="503" t="s">
        <v>19</v>
      </c>
      <c r="I303" s="482"/>
      <c r="J303" s="465"/>
      <c r="K303" s="468"/>
    </row>
    <row r="304" spans="1:11" ht="11.25">
      <c r="A304" s="504" t="s">
        <v>374</v>
      </c>
      <c r="B304" s="467" t="s">
        <v>411</v>
      </c>
      <c r="C304" s="495"/>
      <c r="D304" s="496"/>
      <c r="E304" s="537"/>
      <c r="F304" s="482"/>
      <c r="G304" s="505"/>
      <c r="H304" s="505"/>
      <c r="I304" s="482"/>
      <c r="J304" s="465"/>
      <c r="K304" s="468"/>
    </row>
    <row r="305" spans="1:11" ht="11.25">
      <c r="A305" s="482"/>
      <c r="B305" s="467" t="s">
        <v>345</v>
      </c>
      <c r="C305" s="495">
        <v>39</v>
      </c>
      <c r="D305" s="496">
        <f aca="true" t="shared" si="38" ref="D305:D310">C305/totalm</f>
        <v>0.1848341232227488</v>
      </c>
      <c r="E305" s="522">
        <f>C305/(totalm-q15lnm)</f>
        <v>0.18840579710144928</v>
      </c>
      <c r="F305" s="495">
        <v>48</v>
      </c>
      <c r="G305" s="496">
        <f aca="true" t="shared" si="39" ref="G305:G310">F305/totalf</f>
        <v>0.11059907834101383</v>
      </c>
      <c r="H305" s="496">
        <f>F305/(totalf-q15lnf)</f>
        <v>0.1111111111111111</v>
      </c>
      <c r="I305" s="482"/>
      <c r="J305" s="465"/>
      <c r="K305" s="468"/>
    </row>
    <row r="306" spans="1:11" ht="11.25">
      <c r="A306" s="482"/>
      <c r="B306" s="467" t="s">
        <v>346</v>
      </c>
      <c r="C306" s="495">
        <v>86</v>
      </c>
      <c r="D306" s="496">
        <f t="shared" si="38"/>
        <v>0.4075829383886256</v>
      </c>
      <c r="E306" s="522">
        <f>C306/(totalm-q15lnm)</f>
        <v>0.41545893719806765</v>
      </c>
      <c r="F306" s="495">
        <v>156</v>
      </c>
      <c r="G306" s="496">
        <f t="shared" si="39"/>
        <v>0.35944700460829493</v>
      </c>
      <c r="H306" s="496">
        <f>F306/(totalf-q15lnf)</f>
        <v>0.3611111111111111</v>
      </c>
      <c r="I306" s="482"/>
      <c r="J306" s="465"/>
      <c r="K306" s="468"/>
    </row>
    <row r="307" spans="1:11" ht="11.25">
      <c r="A307" s="482"/>
      <c r="B307" s="467" t="s">
        <v>347</v>
      </c>
      <c r="C307" s="495">
        <v>57</v>
      </c>
      <c r="D307" s="496">
        <f t="shared" si="38"/>
        <v>0.27014218009478674</v>
      </c>
      <c r="E307" s="522">
        <f>C307/(totalm-q15lnm)</f>
        <v>0.2753623188405797</v>
      </c>
      <c r="F307" s="495">
        <v>138</v>
      </c>
      <c r="G307" s="496">
        <f t="shared" si="39"/>
        <v>0.31797235023041476</v>
      </c>
      <c r="H307" s="496">
        <f>F307/(totalf-q15lnf)</f>
        <v>0.3194444444444444</v>
      </c>
      <c r="I307" s="482"/>
      <c r="J307" s="465"/>
      <c r="K307" s="468"/>
    </row>
    <row r="308" spans="1:11" ht="11.25">
      <c r="A308" s="482"/>
      <c r="B308" s="467" t="s">
        <v>348</v>
      </c>
      <c r="C308" s="495">
        <v>19</v>
      </c>
      <c r="D308" s="496">
        <f t="shared" si="38"/>
        <v>0.09004739336492891</v>
      </c>
      <c r="E308" s="522">
        <f>C308/(totalm-q15lnm)</f>
        <v>0.09178743961352658</v>
      </c>
      <c r="F308" s="495">
        <v>66</v>
      </c>
      <c r="G308" s="496">
        <f t="shared" si="39"/>
        <v>0.15207373271889402</v>
      </c>
      <c r="H308" s="496">
        <f>F308/(totalf-q15lnf)</f>
        <v>0.1527777777777778</v>
      </c>
      <c r="I308" s="482"/>
      <c r="J308" s="465"/>
      <c r="K308" s="468"/>
    </row>
    <row r="309" spans="1:11" ht="11.25">
      <c r="A309" s="482"/>
      <c r="B309" s="467" t="s">
        <v>349</v>
      </c>
      <c r="C309" s="495">
        <v>6</v>
      </c>
      <c r="D309" s="496">
        <f t="shared" si="38"/>
        <v>0.02843601895734597</v>
      </c>
      <c r="E309" s="522">
        <f>C309/(totalm-q15lnm)</f>
        <v>0.028985507246376812</v>
      </c>
      <c r="F309" s="495">
        <v>24</v>
      </c>
      <c r="G309" s="496">
        <f t="shared" si="39"/>
        <v>0.055299539170506916</v>
      </c>
      <c r="H309" s="496">
        <f>F309/(totalf-q15lnf)</f>
        <v>0.05555555555555555</v>
      </c>
      <c r="I309" s="482"/>
      <c r="J309" s="465"/>
      <c r="K309" s="468"/>
    </row>
    <row r="310" spans="1:11" ht="11.25">
      <c r="A310" s="485"/>
      <c r="B310" s="471" t="s">
        <v>18</v>
      </c>
      <c r="C310" s="511">
        <v>4</v>
      </c>
      <c r="D310" s="502">
        <f t="shared" si="38"/>
        <v>0.018957345971563982</v>
      </c>
      <c r="E310" s="507" t="s">
        <v>19</v>
      </c>
      <c r="F310" s="511">
        <v>2</v>
      </c>
      <c r="G310" s="512">
        <f t="shared" si="39"/>
        <v>0.004608294930875576</v>
      </c>
      <c r="H310" s="488" t="s">
        <v>19</v>
      </c>
      <c r="I310" s="482"/>
      <c r="J310" s="465"/>
      <c r="K310" s="468"/>
    </row>
    <row r="311" spans="1:11" ht="11.25">
      <c r="A311" s="514" t="s">
        <v>412</v>
      </c>
      <c r="B311" s="515" t="s">
        <v>377</v>
      </c>
      <c r="C311" s="539"/>
      <c r="D311" s="540"/>
      <c r="E311" s="521"/>
      <c r="F311" s="475"/>
      <c r="G311" s="516"/>
      <c r="H311" s="517"/>
      <c r="I311" s="482"/>
      <c r="J311" s="465"/>
      <c r="K311" s="468"/>
    </row>
    <row r="312" spans="1:11" ht="11.25">
      <c r="A312" s="482"/>
      <c r="B312" s="518" t="s">
        <v>378</v>
      </c>
      <c r="C312" s="495">
        <v>44</v>
      </c>
      <c r="D312" s="496">
        <f aca="true" t="shared" si="40" ref="D312:D317">C312/totalm</f>
        <v>0.20853080568720378</v>
      </c>
      <c r="E312" s="522">
        <f>C312/(totalm-q16nm)</f>
        <v>0.21153846153846154</v>
      </c>
      <c r="F312" s="495">
        <v>78</v>
      </c>
      <c r="G312" s="496">
        <f aca="true" t="shared" si="41" ref="G312:G317">F312/totalf</f>
        <v>0.17972350230414746</v>
      </c>
      <c r="H312" s="496">
        <f>F312/(totalf-q16nf)</f>
        <v>0.18181818181818182</v>
      </c>
      <c r="I312" s="482"/>
      <c r="J312" s="465"/>
      <c r="K312" s="468"/>
    </row>
    <row r="313" spans="1:11" ht="11.25">
      <c r="A313" s="482"/>
      <c r="B313" s="518" t="s">
        <v>379</v>
      </c>
      <c r="C313" s="495">
        <v>112</v>
      </c>
      <c r="D313" s="496">
        <f t="shared" si="40"/>
        <v>0.5308056872037915</v>
      </c>
      <c r="E313" s="522">
        <f>C313/(totalm-q16nm)</f>
        <v>0.5384615384615384</v>
      </c>
      <c r="F313" s="495">
        <v>215</v>
      </c>
      <c r="G313" s="496">
        <f t="shared" si="41"/>
        <v>0.49539170506912444</v>
      </c>
      <c r="H313" s="496">
        <f>F313/(totalf-q16nf)</f>
        <v>0.5011655011655012</v>
      </c>
      <c r="I313" s="482"/>
      <c r="J313" s="465"/>
      <c r="K313" s="468"/>
    </row>
    <row r="314" spans="1:11" ht="11.25">
      <c r="A314" s="482"/>
      <c r="B314" s="518" t="s">
        <v>380</v>
      </c>
      <c r="C314" s="495">
        <v>38</v>
      </c>
      <c r="D314" s="496">
        <f t="shared" si="40"/>
        <v>0.18009478672985782</v>
      </c>
      <c r="E314" s="522">
        <f>C314/(totalm-q16nm)</f>
        <v>0.18269230769230768</v>
      </c>
      <c r="F314" s="495">
        <v>104</v>
      </c>
      <c r="G314" s="496">
        <f t="shared" si="41"/>
        <v>0.23963133640552994</v>
      </c>
      <c r="H314" s="496">
        <f>F314/(totalf-q16nf)</f>
        <v>0.24242424242424243</v>
      </c>
      <c r="I314" s="482"/>
      <c r="J314" s="465"/>
      <c r="K314" s="468"/>
    </row>
    <row r="315" spans="1:11" ht="11.25">
      <c r="A315" s="482"/>
      <c r="B315" s="518" t="s">
        <v>381</v>
      </c>
      <c r="C315" s="495">
        <v>11</v>
      </c>
      <c r="D315" s="496">
        <f t="shared" si="40"/>
        <v>0.052132701421800945</v>
      </c>
      <c r="E315" s="522">
        <f>C315/(totalm-q16nm)</f>
        <v>0.052884615384615384</v>
      </c>
      <c r="F315" s="495">
        <v>28</v>
      </c>
      <c r="G315" s="496">
        <f t="shared" si="41"/>
        <v>0.06451612903225806</v>
      </c>
      <c r="H315" s="496">
        <f>F315/(totalf-q16nf)</f>
        <v>0.06526806526806526</v>
      </c>
      <c r="I315" s="482"/>
      <c r="J315" s="465"/>
      <c r="K315" s="468"/>
    </row>
    <row r="316" spans="1:11" ht="11.25">
      <c r="A316" s="482"/>
      <c r="B316" s="518" t="s">
        <v>382</v>
      </c>
      <c r="C316" s="495">
        <v>3</v>
      </c>
      <c r="D316" s="496">
        <f t="shared" si="40"/>
        <v>0.014218009478672985</v>
      </c>
      <c r="E316" s="522">
        <f>C316/(totalm-q16nm)</f>
        <v>0.014423076923076924</v>
      </c>
      <c r="F316" s="495">
        <v>4</v>
      </c>
      <c r="G316" s="496">
        <f t="shared" si="41"/>
        <v>0.009216589861751152</v>
      </c>
      <c r="H316" s="496">
        <f>F316/(totalf-q16nf)</f>
        <v>0.009324009324009324</v>
      </c>
      <c r="I316" s="482"/>
      <c r="J316" s="465"/>
      <c r="K316" s="468"/>
    </row>
    <row r="317" spans="1:11" ht="11.25">
      <c r="A317" s="485"/>
      <c r="B317" s="472" t="s">
        <v>18</v>
      </c>
      <c r="C317" s="511">
        <v>3</v>
      </c>
      <c r="D317" s="512">
        <f t="shared" si="40"/>
        <v>0.014218009478672985</v>
      </c>
      <c r="E317" s="507" t="s">
        <v>19</v>
      </c>
      <c r="F317" s="511">
        <v>5</v>
      </c>
      <c r="G317" s="512">
        <f t="shared" si="41"/>
        <v>0.01152073732718894</v>
      </c>
      <c r="H317" s="488" t="s">
        <v>19</v>
      </c>
      <c r="I317" s="482"/>
      <c r="J317" s="465"/>
      <c r="K317" s="468"/>
    </row>
    <row r="318" spans="1:11" ht="11.25">
      <c r="A318" s="514" t="s">
        <v>383</v>
      </c>
      <c r="B318" s="515" t="s">
        <v>384</v>
      </c>
      <c r="C318" s="475"/>
      <c r="D318" s="516"/>
      <c r="E318" s="521"/>
      <c r="F318" s="465"/>
      <c r="G318" s="505"/>
      <c r="H318" s="505"/>
      <c r="I318" s="482"/>
      <c r="J318" s="465"/>
      <c r="K318" s="468"/>
    </row>
    <row r="319" spans="1:11" ht="11.25">
      <c r="A319" s="497" t="s">
        <v>343</v>
      </c>
      <c r="B319" s="518" t="s">
        <v>385</v>
      </c>
      <c r="C319" s="495"/>
      <c r="D319" s="496"/>
      <c r="E319" s="484"/>
      <c r="F319" s="465"/>
      <c r="G319" s="465"/>
      <c r="H319" s="465"/>
      <c r="I319" s="482"/>
      <c r="J319" s="465"/>
      <c r="K319" s="468"/>
    </row>
    <row r="320" spans="1:11" ht="11.25">
      <c r="A320" s="482"/>
      <c r="B320" s="518" t="s">
        <v>386</v>
      </c>
      <c r="C320" s="495">
        <v>115</v>
      </c>
      <c r="D320" s="496">
        <f>C320/totalm</f>
        <v>0.5450236966824644</v>
      </c>
      <c r="E320" s="522">
        <f>C320/(totalm-q17anm)</f>
        <v>0.5528846153846154</v>
      </c>
      <c r="F320" s="495">
        <v>266</v>
      </c>
      <c r="G320" s="496">
        <f>F320/totalf</f>
        <v>0.6129032258064516</v>
      </c>
      <c r="H320" s="496">
        <f>F320/(totalf-q17anf)</f>
        <v>0.6143187066974596</v>
      </c>
      <c r="I320" s="482"/>
      <c r="J320" s="465"/>
      <c r="K320" s="468"/>
    </row>
    <row r="321" spans="1:11" ht="11.25">
      <c r="A321" s="482"/>
      <c r="B321" s="518" t="s">
        <v>387</v>
      </c>
      <c r="C321" s="495">
        <v>64</v>
      </c>
      <c r="D321" s="496">
        <f>C321/totalm</f>
        <v>0.3033175355450237</v>
      </c>
      <c r="E321" s="522">
        <f>C321/(totalm-q17anm)</f>
        <v>0.3076923076923077</v>
      </c>
      <c r="F321" s="495">
        <v>120</v>
      </c>
      <c r="G321" s="496">
        <f>F321/totalf</f>
        <v>0.2764976958525346</v>
      </c>
      <c r="H321" s="496">
        <f>F321/(totalf-q17anf)</f>
        <v>0.27713625866050806</v>
      </c>
      <c r="I321" s="482"/>
      <c r="J321" s="465"/>
      <c r="K321" s="468"/>
    </row>
    <row r="322" spans="1:11" ht="11.25">
      <c r="A322" s="482"/>
      <c r="B322" s="518" t="s">
        <v>388</v>
      </c>
      <c r="C322" s="495">
        <v>17</v>
      </c>
      <c r="D322" s="496">
        <f>C322/totalm</f>
        <v>0.08056872037914692</v>
      </c>
      <c r="E322" s="522">
        <f>C322/(totalm-q17anm)</f>
        <v>0.08173076923076923</v>
      </c>
      <c r="F322" s="495">
        <v>31</v>
      </c>
      <c r="G322" s="496">
        <f>F322/totalf</f>
        <v>0.07142857142857142</v>
      </c>
      <c r="H322" s="496">
        <f>F322/(totalf-q17anf)</f>
        <v>0.07159353348729793</v>
      </c>
      <c r="I322" s="482"/>
      <c r="J322" s="465"/>
      <c r="K322" s="468"/>
    </row>
    <row r="323" spans="1:11" ht="11.25">
      <c r="A323" s="482"/>
      <c r="B323" s="467" t="s">
        <v>389</v>
      </c>
      <c r="C323" s="495">
        <v>12</v>
      </c>
      <c r="D323" s="496">
        <f>C323/totalm</f>
        <v>0.05687203791469194</v>
      </c>
      <c r="E323" s="522">
        <f>C323/(totalm-q17anm)</f>
        <v>0.057692307692307696</v>
      </c>
      <c r="F323" s="495">
        <v>16</v>
      </c>
      <c r="G323" s="496">
        <f>F323/totalf</f>
        <v>0.03686635944700461</v>
      </c>
      <c r="H323" s="496">
        <f>F323/(totalf-q17anf)</f>
        <v>0.03695150115473441</v>
      </c>
      <c r="I323" s="482"/>
      <c r="J323" s="465"/>
      <c r="K323" s="468"/>
    </row>
    <row r="324" spans="1:11" ht="11.25">
      <c r="A324" s="499"/>
      <c r="B324" s="500" t="s">
        <v>18</v>
      </c>
      <c r="C324" s="501">
        <v>3</v>
      </c>
      <c r="D324" s="502">
        <f>C324/totalm</f>
        <v>0.014218009478672985</v>
      </c>
      <c r="E324" s="507" t="s">
        <v>19</v>
      </c>
      <c r="F324" s="501">
        <v>1</v>
      </c>
      <c r="G324" s="502">
        <f>F324/totalf</f>
        <v>0.002304147465437788</v>
      </c>
      <c r="H324" s="503" t="s">
        <v>19</v>
      </c>
      <c r="I324" s="482"/>
      <c r="J324" s="465"/>
      <c r="K324" s="468"/>
    </row>
    <row r="325" spans="1:11" ht="11.25">
      <c r="A325" s="497" t="s">
        <v>350</v>
      </c>
      <c r="B325" s="518" t="s">
        <v>390</v>
      </c>
      <c r="C325" s="495"/>
      <c r="D325" s="496"/>
      <c r="E325" s="524"/>
      <c r="F325" s="465"/>
      <c r="G325" s="505"/>
      <c r="H325" s="505"/>
      <c r="I325" s="482"/>
      <c r="J325" s="465"/>
      <c r="K325" s="468"/>
    </row>
    <row r="326" spans="1:11" ht="11.25">
      <c r="A326" s="482"/>
      <c r="B326" s="518" t="s">
        <v>386</v>
      </c>
      <c r="C326" s="495">
        <v>57</v>
      </c>
      <c r="D326" s="496">
        <f>C326/totalm</f>
        <v>0.27014218009478674</v>
      </c>
      <c r="E326" s="522">
        <f>C326/(totalm-q17bnm)</f>
        <v>0.2753623188405797</v>
      </c>
      <c r="F326" s="495">
        <v>140</v>
      </c>
      <c r="G326" s="496">
        <f>F326/totalf</f>
        <v>0.3225806451612903</v>
      </c>
      <c r="H326" s="496">
        <f>F326/(totalf-q17bnf)</f>
        <v>0.3233256351039261</v>
      </c>
      <c r="I326" s="482"/>
      <c r="J326" s="465"/>
      <c r="K326" s="468"/>
    </row>
    <row r="327" spans="1:11" ht="11.25">
      <c r="A327" s="482"/>
      <c r="B327" s="518" t="s">
        <v>387</v>
      </c>
      <c r="C327" s="495">
        <v>67</v>
      </c>
      <c r="D327" s="496">
        <f>C327/totalm</f>
        <v>0.3175355450236967</v>
      </c>
      <c r="E327" s="522">
        <f>C327/(totalm-q17bnm)</f>
        <v>0.32367149758454106</v>
      </c>
      <c r="F327" s="495">
        <v>179</v>
      </c>
      <c r="G327" s="496">
        <f>F327/totalf</f>
        <v>0.41244239631336405</v>
      </c>
      <c r="H327" s="496">
        <f>F327/(totalf-q17bnf)</f>
        <v>0.4133949191685912</v>
      </c>
      <c r="I327" s="482"/>
      <c r="J327" s="465"/>
      <c r="K327" s="468"/>
    </row>
    <row r="328" spans="1:11" ht="11.25">
      <c r="A328" s="482"/>
      <c r="B328" s="518" t="s">
        <v>388</v>
      </c>
      <c r="C328" s="495">
        <v>56</v>
      </c>
      <c r="D328" s="496">
        <f>C328/totalm</f>
        <v>0.26540284360189575</v>
      </c>
      <c r="E328" s="522">
        <f>C328/(totalm-q17bnm)</f>
        <v>0.27053140096618356</v>
      </c>
      <c r="F328" s="495">
        <v>71</v>
      </c>
      <c r="G328" s="496">
        <f>F328/totalf</f>
        <v>0.16359447004608296</v>
      </c>
      <c r="H328" s="496">
        <f>F328/(totalf-q17bnf)</f>
        <v>0.16397228637413394</v>
      </c>
      <c r="I328" s="482"/>
      <c r="J328" s="465"/>
      <c r="K328" s="468"/>
    </row>
    <row r="329" spans="1:11" ht="11.25">
      <c r="A329" s="482"/>
      <c r="B329" s="467" t="s">
        <v>389</v>
      </c>
      <c r="C329" s="495">
        <v>27</v>
      </c>
      <c r="D329" s="496">
        <f>C329/totalm</f>
        <v>0.12796208530805686</v>
      </c>
      <c r="E329" s="522">
        <f>C329/(totalm-q17bnm)</f>
        <v>0.13043478260869565</v>
      </c>
      <c r="F329" s="495">
        <v>43</v>
      </c>
      <c r="G329" s="496">
        <f>F329/totalf</f>
        <v>0.09907834101382489</v>
      </c>
      <c r="H329" s="496">
        <f>F329/(totalf-q17bnf)</f>
        <v>0.09930715935334873</v>
      </c>
      <c r="I329" s="482"/>
      <c r="J329" s="465"/>
      <c r="K329" s="468"/>
    </row>
    <row r="330" spans="1:11" ht="11.25">
      <c r="A330" s="499"/>
      <c r="B330" s="500" t="s">
        <v>18</v>
      </c>
      <c r="C330" s="501">
        <v>4</v>
      </c>
      <c r="D330" s="502">
        <f>C330/totalm</f>
        <v>0.018957345971563982</v>
      </c>
      <c r="E330" s="507" t="s">
        <v>19</v>
      </c>
      <c r="F330" s="501">
        <v>1</v>
      </c>
      <c r="G330" s="502">
        <f>F330/totalf</f>
        <v>0.002304147465437788</v>
      </c>
      <c r="H330" s="503" t="s">
        <v>19</v>
      </c>
      <c r="I330" s="482"/>
      <c r="J330" s="465"/>
      <c r="K330" s="468"/>
    </row>
    <row r="331" spans="1:11" ht="11.25">
      <c r="A331" s="497" t="s">
        <v>352</v>
      </c>
      <c r="B331" s="518" t="s">
        <v>391</v>
      </c>
      <c r="C331" s="495"/>
      <c r="D331" s="496"/>
      <c r="E331" s="524"/>
      <c r="F331" s="465"/>
      <c r="G331" s="505"/>
      <c r="H331" s="505"/>
      <c r="I331" s="482"/>
      <c r="J331" s="465"/>
      <c r="K331" s="468"/>
    </row>
    <row r="332" spans="1:11" ht="11.25">
      <c r="A332" s="482"/>
      <c r="B332" s="518" t="s">
        <v>386</v>
      </c>
      <c r="C332" s="495">
        <v>120</v>
      </c>
      <c r="D332" s="496">
        <f>C332/totalm</f>
        <v>0.5687203791469194</v>
      </c>
      <c r="E332" s="522">
        <f>C332/(totalm-q17cnm)</f>
        <v>0.5797101449275363</v>
      </c>
      <c r="F332" s="495">
        <v>296</v>
      </c>
      <c r="G332" s="496">
        <f>F332/totalf</f>
        <v>0.6820276497695853</v>
      </c>
      <c r="H332" s="496">
        <f>F332/(totalf-q17cnf)</f>
        <v>0.6836027713625866</v>
      </c>
      <c r="I332" s="482"/>
      <c r="J332" s="465"/>
      <c r="K332" s="468"/>
    </row>
    <row r="333" spans="1:11" ht="11.25">
      <c r="A333" s="482"/>
      <c r="B333" s="518" t="s">
        <v>387</v>
      </c>
      <c r="C333" s="495">
        <v>51</v>
      </c>
      <c r="D333" s="496">
        <f>C333/totalm</f>
        <v>0.24170616113744076</v>
      </c>
      <c r="E333" s="522">
        <f>C333/(totalm-q17cnm)</f>
        <v>0.2463768115942029</v>
      </c>
      <c r="F333" s="495">
        <v>94</v>
      </c>
      <c r="G333" s="496">
        <f>F333/totalf</f>
        <v>0.21658986175115208</v>
      </c>
      <c r="H333" s="496">
        <f>F333/(totalf-q17cnf)</f>
        <v>0.21709006928406466</v>
      </c>
      <c r="I333" s="482"/>
      <c r="J333" s="465"/>
      <c r="K333" s="468"/>
    </row>
    <row r="334" spans="1:11" ht="11.25">
      <c r="A334" s="482"/>
      <c r="B334" s="518" t="s">
        <v>388</v>
      </c>
      <c r="C334" s="495">
        <v>23</v>
      </c>
      <c r="D334" s="496">
        <f>C334/totalm</f>
        <v>0.10900473933649289</v>
      </c>
      <c r="E334" s="522">
        <f>C334/(totalm-q17cnm)</f>
        <v>0.1111111111111111</v>
      </c>
      <c r="F334" s="495">
        <v>32</v>
      </c>
      <c r="G334" s="496">
        <f>F334/totalf</f>
        <v>0.07373271889400922</v>
      </c>
      <c r="H334" s="496">
        <f>F334/(totalf-q17cnf)</f>
        <v>0.07390300230946882</v>
      </c>
      <c r="I334" s="482"/>
      <c r="J334" s="465"/>
      <c r="K334" s="468"/>
    </row>
    <row r="335" spans="1:11" ht="11.25">
      <c r="A335" s="482"/>
      <c r="B335" s="467" t="s">
        <v>389</v>
      </c>
      <c r="C335" s="495">
        <v>13</v>
      </c>
      <c r="D335" s="496">
        <f>C335/totalm</f>
        <v>0.061611374407582936</v>
      </c>
      <c r="E335" s="522">
        <f>C335/(totalm-q17cnm)</f>
        <v>0.06280193236714976</v>
      </c>
      <c r="F335" s="495">
        <v>11</v>
      </c>
      <c r="G335" s="496">
        <f>F335/totalf</f>
        <v>0.02534562211981567</v>
      </c>
      <c r="H335" s="496">
        <f>F335/(totalf-q17cnf)</f>
        <v>0.025404157043879907</v>
      </c>
      <c r="I335" s="482"/>
      <c r="J335" s="465"/>
      <c r="K335" s="468"/>
    </row>
    <row r="336" spans="1:11" ht="11.25">
      <c r="A336" s="485"/>
      <c r="B336" s="471" t="s">
        <v>18</v>
      </c>
      <c r="C336" s="511">
        <v>4</v>
      </c>
      <c r="D336" s="512">
        <f>C336/totalm</f>
        <v>0.018957345971563982</v>
      </c>
      <c r="E336" s="513" t="s">
        <v>19</v>
      </c>
      <c r="F336" s="511">
        <v>1</v>
      </c>
      <c r="G336" s="512">
        <f>F336/totalf</f>
        <v>0.002304147465437788</v>
      </c>
      <c r="H336" s="488" t="s">
        <v>19</v>
      </c>
      <c r="I336" s="485"/>
      <c r="J336" s="470"/>
      <c r="K336" s="486"/>
    </row>
    <row r="337" spans="1:11" ht="12.75">
      <c r="A337" s="458" t="s">
        <v>337</v>
      </c>
      <c r="B337" s="459"/>
      <c r="C337" s="460"/>
      <c r="D337" s="510"/>
      <c r="E337" s="510"/>
      <c r="F337" s="461"/>
      <c r="G337" s="516"/>
      <c r="H337" s="516"/>
      <c r="I337" s="461"/>
      <c r="J337" s="461"/>
      <c r="K337" s="462" t="s">
        <v>413</v>
      </c>
    </row>
    <row r="338" spans="1:11" ht="12.75">
      <c r="A338" s="464" t="s">
        <v>313</v>
      </c>
      <c r="B338" s="465"/>
      <c r="C338" s="466"/>
      <c r="D338" s="466"/>
      <c r="E338" s="466"/>
      <c r="F338" s="467"/>
      <c r="G338" s="467"/>
      <c r="H338" s="467"/>
      <c r="I338" s="467"/>
      <c r="J338" s="467"/>
      <c r="K338" s="468"/>
    </row>
    <row r="339" spans="1:11" ht="12.75">
      <c r="A339" s="6" t="s">
        <v>339</v>
      </c>
      <c r="B339" s="465"/>
      <c r="C339" s="466"/>
      <c r="D339" s="466"/>
      <c r="E339" s="466"/>
      <c r="F339" s="467"/>
      <c r="G339" s="467"/>
      <c r="H339" s="467"/>
      <c r="I339" s="467"/>
      <c r="J339" s="467"/>
      <c r="K339" s="468"/>
    </row>
    <row r="340" spans="1:15" ht="12.75">
      <c r="A340" s="469" t="s">
        <v>340</v>
      </c>
      <c r="B340" s="470"/>
      <c r="C340" s="470"/>
      <c r="D340" s="470"/>
      <c r="E340" s="470"/>
      <c r="F340" s="470"/>
      <c r="G340" s="470"/>
      <c r="H340" s="471"/>
      <c r="I340" s="471"/>
      <c r="J340" s="471"/>
      <c r="K340" s="472"/>
      <c r="L340" s="473"/>
      <c r="M340" s="474"/>
      <c r="N340" s="473"/>
      <c r="O340" s="473"/>
    </row>
    <row r="341" spans="1:11" ht="18" customHeight="1">
      <c r="A341" s="475"/>
      <c r="B341" s="476"/>
      <c r="C341" s="525" t="s">
        <v>153</v>
      </c>
      <c r="D341" s="526"/>
      <c r="E341" s="526"/>
      <c r="F341" s="525" t="s">
        <v>154</v>
      </c>
      <c r="G341" s="526"/>
      <c r="H341" s="526"/>
      <c r="I341" s="478"/>
      <c r="J341" s="459"/>
      <c r="K341" s="476"/>
    </row>
    <row r="342" spans="1:11" ht="11.25">
      <c r="A342" s="482"/>
      <c r="B342" s="468"/>
      <c r="C342" s="527"/>
      <c r="D342" s="528" t="s">
        <v>5</v>
      </c>
      <c r="E342" s="528" t="s">
        <v>5</v>
      </c>
      <c r="F342" s="527"/>
      <c r="G342" s="528" t="s">
        <v>5</v>
      </c>
      <c r="H342" s="528" t="s">
        <v>5</v>
      </c>
      <c r="I342" s="482"/>
      <c r="J342" s="465"/>
      <c r="K342" s="468"/>
    </row>
    <row r="343" spans="1:11" ht="11.25" customHeight="1">
      <c r="A343" s="480"/>
      <c r="B343" s="481" t="s">
        <v>408</v>
      </c>
      <c r="C343" s="529"/>
      <c r="D343" s="530" t="s">
        <v>7</v>
      </c>
      <c r="E343" s="530" t="s">
        <v>8</v>
      </c>
      <c r="F343" s="529"/>
      <c r="G343" s="530" t="s">
        <v>7</v>
      </c>
      <c r="H343" s="530" t="s">
        <v>8</v>
      </c>
      <c r="I343" s="482"/>
      <c r="J343" s="465"/>
      <c r="K343" s="468"/>
    </row>
    <row r="344" spans="1:11" ht="11.25">
      <c r="A344" s="485"/>
      <c r="B344" s="486"/>
      <c r="C344" s="531" t="s">
        <v>9</v>
      </c>
      <c r="D344" s="532" t="s">
        <v>10</v>
      </c>
      <c r="E344" s="532" t="s">
        <v>10</v>
      </c>
      <c r="F344" s="531" t="s">
        <v>9</v>
      </c>
      <c r="G344" s="532" t="s">
        <v>10</v>
      </c>
      <c r="H344" s="532" t="s">
        <v>10</v>
      </c>
      <c r="I344" s="482"/>
      <c r="J344" s="465"/>
      <c r="K344" s="468"/>
    </row>
    <row r="345" spans="1:11" ht="11.25">
      <c r="A345" s="514" t="s">
        <v>267</v>
      </c>
      <c r="B345" s="515" t="s">
        <v>268</v>
      </c>
      <c r="C345" s="461"/>
      <c r="D345" s="516"/>
      <c r="E345" s="521"/>
      <c r="F345" s="461"/>
      <c r="G345" s="516"/>
      <c r="H345" s="517"/>
      <c r="I345" s="482"/>
      <c r="J345" s="465"/>
      <c r="K345" s="468"/>
    </row>
    <row r="346" spans="1:11" ht="11.25">
      <c r="A346" s="482"/>
      <c r="B346" s="520" t="s">
        <v>269</v>
      </c>
      <c r="C346" s="467"/>
      <c r="D346" s="496"/>
      <c r="E346" s="484"/>
      <c r="F346" s="467"/>
      <c r="G346" s="496"/>
      <c r="H346" s="483"/>
      <c r="I346" s="482"/>
      <c r="J346" s="465"/>
      <c r="K346" s="468"/>
    </row>
    <row r="347" spans="1:11" ht="11.25">
      <c r="A347" s="482"/>
      <c r="B347" s="518" t="s">
        <v>270</v>
      </c>
      <c r="C347" s="467">
        <v>17</v>
      </c>
      <c r="D347" s="496">
        <f aca="true" t="shared" si="42" ref="D347:D352">C347/totalm</f>
        <v>0.08056872037914692</v>
      </c>
      <c r="E347" s="522">
        <f>C347/(totalm-q18nm)</f>
        <v>0.08173076923076923</v>
      </c>
      <c r="F347" s="467">
        <v>42</v>
      </c>
      <c r="G347" s="496">
        <f aca="true" t="shared" si="43" ref="G347:G352">F347/totalf</f>
        <v>0.0967741935483871</v>
      </c>
      <c r="H347" s="496">
        <f>F347/(totalf-q18nf)</f>
        <v>0.09813084112149532</v>
      </c>
      <c r="I347" s="482"/>
      <c r="J347" s="465"/>
      <c r="K347" s="468"/>
    </row>
    <row r="348" spans="1:11" ht="11.25">
      <c r="A348" s="482"/>
      <c r="B348" s="518" t="s">
        <v>271</v>
      </c>
      <c r="C348" s="467">
        <v>82</v>
      </c>
      <c r="D348" s="496">
        <f t="shared" si="42"/>
        <v>0.3886255924170616</v>
      </c>
      <c r="E348" s="522">
        <f>C348/(totalm-q18nm)</f>
        <v>0.3942307692307692</v>
      </c>
      <c r="F348" s="467">
        <v>156</v>
      </c>
      <c r="G348" s="496">
        <f t="shared" si="43"/>
        <v>0.35944700460829493</v>
      </c>
      <c r="H348" s="496">
        <f>F348/(totalf-q18nf)</f>
        <v>0.3644859813084112</v>
      </c>
      <c r="I348" s="482"/>
      <c r="J348" s="465"/>
      <c r="K348" s="468"/>
    </row>
    <row r="349" spans="1:11" ht="11.25">
      <c r="A349" s="482"/>
      <c r="B349" s="518" t="s">
        <v>272</v>
      </c>
      <c r="C349" s="467">
        <v>90</v>
      </c>
      <c r="D349" s="496">
        <f t="shared" si="42"/>
        <v>0.4265402843601896</v>
      </c>
      <c r="E349" s="522">
        <f>C349/(totalm-q18nm)</f>
        <v>0.4326923076923077</v>
      </c>
      <c r="F349" s="467">
        <v>202</v>
      </c>
      <c r="G349" s="496">
        <f t="shared" si="43"/>
        <v>0.46543778801843316</v>
      </c>
      <c r="H349" s="496">
        <f>F349/(totalf-q18nf)</f>
        <v>0.4719626168224299</v>
      </c>
      <c r="I349" s="482"/>
      <c r="J349" s="465"/>
      <c r="K349" s="468"/>
    </row>
    <row r="350" spans="1:11" ht="11.25">
      <c r="A350" s="482"/>
      <c r="B350" s="518" t="s">
        <v>273</v>
      </c>
      <c r="C350" s="467">
        <v>18</v>
      </c>
      <c r="D350" s="496">
        <f t="shared" si="42"/>
        <v>0.08530805687203792</v>
      </c>
      <c r="E350" s="522">
        <f>C350/(totalm-q18nm)</f>
        <v>0.08653846153846154</v>
      </c>
      <c r="F350" s="467">
        <v>24</v>
      </c>
      <c r="G350" s="496">
        <f t="shared" si="43"/>
        <v>0.055299539170506916</v>
      </c>
      <c r="H350" s="496">
        <f>F350/(totalf-q18nf)</f>
        <v>0.056074766355140186</v>
      </c>
      <c r="I350" s="482"/>
      <c r="J350" s="465"/>
      <c r="K350" s="468"/>
    </row>
    <row r="351" spans="1:11" ht="11.25">
      <c r="A351" s="482"/>
      <c r="B351" s="518" t="s">
        <v>274</v>
      </c>
      <c r="C351" s="467">
        <v>1</v>
      </c>
      <c r="D351" s="496">
        <f t="shared" si="42"/>
        <v>0.004739336492890996</v>
      </c>
      <c r="E351" s="522">
        <f>C351/(totalm-q18nm)</f>
        <v>0.004807692307692308</v>
      </c>
      <c r="F351" s="467">
        <v>4</v>
      </c>
      <c r="G351" s="496">
        <f t="shared" si="43"/>
        <v>0.009216589861751152</v>
      </c>
      <c r="H351" s="496">
        <f>F351/(totalf-q18nf)</f>
        <v>0.009345794392523364</v>
      </c>
      <c r="I351" s="482"/>
      <c r="J351" s="465"/>
      <c r="K351" s="468"/>
    </row>
    <row r="352" spans="1:11" ht="11.25">
      <c r="A352" s="485"/>
      <c r="B352" s="472" t="s">
        <v>18</v>
      </c>
      <c r="C352" s="471">
        <v>3</v>
      </c>
      <c r="D352" s="512">
        <f t="shared" si="42"/>
        <v>0.014218009478672985</v>
      </c>
      <c r="E352" s="513" t="s">
        <v>19</v>
      </c>
      <c r="F352" s="471">
        <v>6</v>
      </c>
      <c r="G352" s="512">
        <f t="shared" si="43"/>
        <v>0.013824884792626729</v>
      </c>
      <c r="H352" s="503" t="s">
        <v>19</v>
      </c>
      <c r="I352" s="482"/>
      <c r="J352" s="465"/>
      <c r="K352" s="468"/>
    </row>
    <row r="353" spans="1:11" ht="11.25">
      <c r="A353" s="514" t="s">
        <v>393</v>
      </c>
      <c r="B353" s="515" t="s">
        <v>394</v>
      </c>
      <c r="C353" s="461"/>
      <c r="D353" s="516"/>
      <c r="E353" s="521"/>
      <c r="F353" s="461"/>
      <c r="G353" s="516"/>
      <c r="H353" s="517"/>
      <c r="I353" s="482"/>
      <c r="J353" s="465"/>
      <c r="K353" s="468"/>
    </row>
    <row r="354" spans="1:11" ht="11.25">
      <c r="A354" s="497" t="s">
        <v>343</v>
      </c>
      <c r="B354" s="518" t="s">
        <v>395</v>
      </c>
      <c r="C354" s="467"/>
      <c r="D354" s="496"/>
      <c r="E354" s="484"/>
      <c r="F354" s="467"/>
      <c r="G354" s="496"/>
      <c r="H354" s="483"/>
      <c r="I354" s="482"/>
      <c r="J354" s="465"/>
      <c r="K354" s="468"/>
    </row>
    <row r="355" spans="1:11" ht="11.25">
      <c r="A355" s="482"/>
      <c r="B355" s="518" t="s">
        <v>396</v>
      </c>
      <c r="C355" s="467">
        <v>52</v>
      </c>
      <c r="D355" s="496">
        <f>C355/totalm</f>
        <v>0.24644549763033174</v>
      </c>
      <c r="E355" s="522">
        <f>C355/(totalm-q19anm)</f>
        <v>0.25120772946859904</v>
      </c>
      <c r="F355" s="467">
        <v>122</v>
      </c>
      <c r="G355" s="496">
        <f>F355/totalf</f>
        <v>0.28110599078341014</v>
      </c>
      <c r="H355" s="496">
        <f>F355/(totalf-q19anf)</f>
        <v>0.2857142857142857</v>
      </c>
      <c r="I355" s="482"/>
      <c r="J355" s="465"/>
      <c r="K355" s="468"/>
    </row>
    <row r="356" spans="1:11" ht="11.25">
      <c r="A356" s="482"/>
      <c r="B356" s="518" t="s">
        <v>397</v>
      </c>
      <c r="C356" s="467">
        <v>74</v>
      </c>
      <c r="D356" s="496">
        <f>C356/totalm</f>
        <v>0.35071090047393366</v>
      </c>
      <c r="E356" s="522">
        <f>C356/(totalm-q19anm)</f>
        <v>0.357487922705314</v>
      </c>
      <c r="F356" s="467">
        <v>148</v>
      </c>
      <c r="G356" s="496">
        <f>F356/totalf</f>
        <v>0.34101382488479265</v>
      </c>
      <c r="H356" s="496">
        <f>F356/(totalf-q19anf)</f>
        <v>0.34660421545667447</v>
      </c>
      <c r="I356" s="482"/>
      <c r="J356" s="465"/>
      <c r="K356" s="468"/>
    </row>
    <row r="357" spans="1:11" ht="11.25">
      <c r="A357" s="482"/>
      <c r="B357" s="518" t="s">
        <v>398</v>
      </c>
      <c r="C357" s="467">
        <v>81</v>
      </c>
      <c r="D357" s="496">
        <f>C357/totalm</f>
        <v>0.38388625592417064</v>
      </c>
      <c r="E357" s="522">
        <f>C357/(totalm-q19anm)</f>
        <v>0.391304347826087</v>
      </c>
      <c r="F357" s="467">
        <v>157</v>
      </c>
      <c r="G357" s="496">
        <f>F357/totalf</f>
        <v>0.3617511520737327</v>
      </c>
      <c r="H357" s="496">
        <f>F357/(totalf-q19anf)</f>
        <v>0.36768149882903983</v>
      </c>
      <c r="I357" s="482"/>
      <c r="J357" s="465"/>
      <c r="K357" s="468"/>
    </row>
    <row r="358" spans="1:11" ht="11.25">
      <c r="A358" s="499"/>
      <c r="B358" s="523" t="s">
        <v>18</v>
      </c>
      <c r="C358" s="500">
        <v>4</v>
      </c>
      <c r="D358" s="502">
        <f>C358/totalm</f>
        <v>0.018957345971563982</v>
      </c>
      <c r="E358" s="507" t="s">
        <v>19</v>
      </c>
      <c r="F358" s="500">
        <v>7</v>
      </c>
      <c r="G358" s="502">
        <f>F358/totalf</f>
        <v>0.016129032258064516</v>
      </c>
      <c r="H358" s="503" t="s">
        <v>19</v>
      </c>
      <c r="I358" s="482"/>
      <c r="J358" s="465"/>
      <c r="K358" s="468"/>
    </row>
    <row r="359" spans="1:11" ht="11.25">
      <c r="A359" s="497" t="s">
        <v>350</v>
      </c>
      <c r="B359" s="518" t="s">
        <v>399</v>
      </c>
      <c r="C359" s="467" t="s">
        <v>20</v>
      </c>
      <c r="D359" s="496"/>
      <c r="E359" s="524"/>
      <c r="F359" s="467"/>
      <c r="G359" s="496"/>
      <c r="H359" s="519"/>
      <c r="I359" s="482"/>
      <c r="J359" s="465"/>
      <c r="K359" s="468"/>
    </row>
    <row r="360" spans="1:11" ht="11.25">
      <c r="A360" s="482"/>
      <c r="B360" s="518" t="s">
        <v>396</v>
      </c>
      <c r="C360" s="467">
        <v>44</v>
      </c>
      <c r="D360" s="496">
        <f>C360/totalm</f>
        <v>0.20853080568720378</v>
      </c>
      <c r="E360" s="522">
        <f>C360/(totalm-q19bnm)</f>
        <v>0.21153846153846154</v>
      </c>
      <c r="F360" s="467">
        <v>86</v>
      </c>
      <c r="G360" s="496">
        <f>F360/totalf</f>
        <v>0.19815668202764977</v>
      </c>
      <c r="H360" s="496">
        <f>F360/(totalf-q19bnf)</f>
        <v>0.20093457943925233</v>
      </c>
      <c r="I360" s="482"/>
      <c r="J360" s="465"/>
      <c r="K360" s="468"/>
    </row>
    <row r="361" spans="1:11" ht="11.25">
      <c r="A361" s="482"/>
      <c r="B361" s="518" t="s">
        <v>397</v>
      </c>
      <c r="C361" s="467">
        <v>72</v>
      </c>
      <c r="D361" s="496">
        <f>C361/totalm</f>
        <v>0.3412322274881517</v>
      </c>
      <c r="E361" s="522">
        <f>C361/(totalm-q19bnm)</f>
        <v>0.34615384615384615</v>
      </c>
      <c r="F361" s="467">
        <v>150</v>
      </c>
      <c r="G361" s="496">
        <f>F361/totalf</f>
        <v>0.3456221198156682</v>
      </c>
      <c r="H361" s="496">
        <f>F361/(totalf-q19bnf)</f>
        <v>0.35046728971962615</v>
      </c>
      <c r="I361" s="482"/>
      <c r="J361" s="465"/>
      <c r="K361" s="468"/>
    </row>
    <row r="362" spans="1:11" ht="11.25">
      <c r="A362" s="482"/>
      <c r="B362" s="518" t="s">
        <v>398</v>
      </c>
      <c r="C362" s="467">
        <v>92</v>
      </c>
      <c r="D362" s="496">
        <f>C362/totalm</f>
        <v>0.43601895734597157</v>
      </c>
      <c r="E362" s="522">
        <f>C362/(totalm-q19bnm)</f>
        <v>0.4423076923076923</v>
      </c>
      <c r="F362" s="467">
        <v>192</v>
      </c>
      <c r="G362" s="496">
        <f>F362/totalf</f>
        <v>0.4423963133640553</v>
      </c>
      <c r="H362" s="496">
        <f>F362/(totalf-q19bnf)</f>
        <v>0.4485981308411215</v>
      </c>
      <c r="I362" s="482"/>
      <c r="J362" s="465"/>
      <c r="K362" s="468"/>
    </row>
    <row r="363" spans="1:11" ht="11.25">
      <c r="A363" s="499"/>
      <c r="B363" s="523" t="s">
        <v>18</v>
      </c>
      <c r="C363" s="500">
        <v>3</v>
      </c>
      <c r="D363" s="502">
        <f>C363/totalm</f>
        <v>0.014218009478672985</v>
      </c>
      <c r="E363" s="507" t="s">
        <v>19</v>
      </c>
      <c r="F363" s="500">
        <v>6</v>
      </c>
      <c r="G363" s="502">
        <f>F363/totalf</f>
        <v>0.013824884792626729</v>
      </c>
      <c r="H363" s="503" t="s">
        <v>19</v>
      </c>
      <c r="I363" s="482"/>
      <c r="J363" s="465"/>
      <c r="K363" s="468"/>
    </row>
    <row r="364" spans="1:11" ht="11.25">
      <c r="A364" s="497" t="s">
        <v>352</v>
      </c>
      <c r="B364" s="518" t="s">
        <v>400</v>
      </c>
      <c r="C364" s="467"/>
      <c r="D364" s="496"/>
      <c r="E364" s="524"/>
      <c r="F364" s="467"/>
      <c r="G364" s="496"/>
      <c r="H364" s="519"/>
      <c r="I364" s="482"/>
      <c r="J364" s="465"/>
      <c r="K364" s="468"/>
    </row>
    <row r="365" spans="1:11" ht="11.25">
      <c r="A365" s="482"/>
      <c r="B365" s="518" t="s">
        <v>396</v>
      </c>
      <c r="C365" s="467">
        <v>74</v>
      </c>
      <c r="D365" s="496">
        <f>C365/totalm</f>
        <v>0.35071090047393366</v>
      </c>
      <c r="E365" s="522">
        <f>C365/(totalm-q19cnm)</f>
        <v>0.357487922705314</v>
      </c>
      <c r="F365" s="467">
        <v>148</v>
      </c>
      <c r="G365" s="496">
        <f>F365/totalf</f>
        <v>0.34101382488479265</v>
      </c>
      <c r="H365" s="496">
        <f>F365/(totalf-q19cnf)</f>
        <v>0.34418604651162793</v>
      </c>
      <c r="I365" s="482"/>
      <c r="J365" s="465"/>
      <c r="K365" s="468"/>
    </row>
    <row r="366" spans="1:11" ht="11.25">
      <c r="A366" s="482"/>
      <c r="B366" s="518" t="s">
        <v>397</v>
      </c>
      <c r="C366" s="467">
        <v>60</v>
      </c>
      <c r="D366" s="496">
        <f>C366/totalm</f>
        <v>0.2843601895734597</v>
      </c>
      <c r="E366" s="522">
        <f>C366/(totalm-q19cnm)</f>
        <v>0.2898550724637681</v>
      </c>
      <c r="F366" s="467">
        <v>129</v>
      </c>
      <c r="G366" s="496">
        <f>F366/totalf</f>
        <v>0.29723502304147464</v>
      </c>
      <c r="H366" s="496">
        <f>F366/(totalf-q19cnf)</f>
        <v>0.3</v>
      </c>
      <c r="I366" s="482"/>
      <c r="J366" s="465"/>
      <c r="K366" s="468"/>
    </row>
    <row r="367" spans="1:11" ht="11.25">
      <c r="A367" s="482"/>
      <c r="B367" s="518" t="s">
        <v>398</v>
      </c>
      <c r="C367" s="467">
        <v>73</v>
      </c>
      <c r="D367" s="496">
        <f>C367/totalm</f>
        <v>0.3459715639810427</v>
      </c>
      <c r="E367" s="522">
        <f>C367/(totalm-q19cnm)</f>
        <v>0.3526570048309179</v>
      </c>
      <c r="F367" s="467">
        <v>153</v>
      </c>
      <c r="G367" s="496">
        <f>F367/totalf</f>
        <v>0.35253456221198154</v>
      </c>
      <c r="H367" s="496">
        <f>F367/(totalf-q19cnf)</f>
        <v>0.3558139534883721</v>
      </c>
      <c r="I367" s="482"/>
      <c r="J367" s="465"/>
      <c r="K367" s="468"/>
    </row>
    <row r="368" spans="1:11" ht="11.25">
      <c r="A368" s="499"/>
      <c r="B368" s="523" t="s">
        <v>18</v>
      </c>
      <c r="C368" s="500">
        <v>4</v>
      </c>
      <c r="D368" s="502">
        <f>C368/totalm</f>
        <v>0.018957345971563982</v>
      </c>
      <c r="E368" s="507" t="s">
        <v>19</v>
      </c>
      <c r="F368" s="500">
        <v>4</v>
      </c>
      <c r="G368" s="502">
        <f>F368/totalf</f>
        <v>0.009216589861751152</v>
      </c>
      <c r="H368" s="503" t="s">
        <v>19</v>
      </c>
      <c r="I368" s="482"/>
      <c r="J368" s="465"/>
      <c r="K368" s="468"/>
    </row>
    <row r="369" spans="1:11" ht="11.25">
      <c r="A369" s="497" t="s">
        <v>355</v>
      </c>
      <c r="B369" s="518" t="s">
        <v>401</v>
      </c>
      <c r="C369" s="467"/>
      <c r="D369" s="496"/>
      <c r="E369" s="524"/>
      <c r="F369" s="467"/>
      <c r="G369" s="496"/>
      <c r="H369" s="519"/>
      <c r="I369" s="482"/>
      <c r="J369" s="465"/>
      <c r="K369" s="468"/>
    </row>
    <row r="370" spans="1:11" ht="11.25">
      <c r="A370" s="482"/>
      <c r="B370" s="518" t="s">
        <v>396</v>
      </c>
      <c r="C370" s="467">
        <v>49</v>
      </c>
      <c r="D370" s="496">
        <f>C370/totalm</f>
        <v>0.23222748815165878</v>
      </c>
      <c r="E370" s="522">
        <f>C370/(totalm-q19dnm)</f>
        <v>0.23671497584541062</v>
      </c>
      <c r="F370" s="467">
        <v>124</v>
      </c>
      <c r="G370" s="496">
        <f>F370/totalf</f>
        <v>0.2857142857142857</v>
      </c>
      <c r="H370" s="496">
        <f>F370/(totalf-q19dnf)</f>
        <v>0.2877030162412993</v>
      </c>
      <c r="I370" s="482"/>
      <c r="J370" s="465"/>
      <c r="K370" s="468"/>
    </row>
    <row r="371" spans="1:11" ht="11.25">
      <c r="A371" s="482"/>
      <c r="B371" s="518" t="s">
        <v>397</v>
      </c>
      <c r="C371" s="467">
        <v>58</v>
      </c>
      <c r="D371" s="496">
        <f>C371/totalm</f>
        <v>0.27488151658767773</v>
      </c>
      <c r="E371" s="522">
        <f>C371/(totalm-q19dnm)</f>
        <v>0.28019323671497587</v>
      </c>
      <c r="F371" s="467">
        <v>150</v>
      </c>
      <c r="G371" s="496">
        <f>F371/totalf</f>
        <v>0.3456221198156682</v>
      </c>
      <c r="H371" s="496">
        <f>F371/(totalf-q19dnf)</f>
        <v>0.3480278422273782</v>
      </c>
      <c r="I371" s="482"/>
      <c r="J371" s="465"/>
      <c r="K371" s="468"/>
    </row>
    <row r="372" spans="1:11" ht="11.25">
      <c r="A372" s="482"/>
      <c r="B372" s="518" t="s">
        <v>398</v>
      </c>
      <c r="C372" s="467">
        <v>100</v>
      </c>
      <c r="D372" s="496">
        <f>C372/totalm</f>
        <v>0.47393364928909953</v>
      </c>
      <c r="E372" s="522">
        <f>C372/(totalm-q19dnm)</f>
        <v>0.4830917874396135</v>
      </c>
      <c r="F372" s="467">
        <v>157</v>
      </c>
      <c r="G372" s="496">
        <f>F372/totalf</f>
        <v>0.3617511520737327</v>
      </c>
      <c r="H372" s="496">
        <f>F372/(totalf-q19dnf)</f>
        <v>0.3642691415313225</v>
      </c>
      <c r="I372" s="482"/>
      <c r="J372" s="465"/>
      <c r="K372" s="468"/>
    </row>
    <row r="373" spans="1:11" ht="11.25">
      <c r="A373" s="499"/>
      <c r="B373" s="523" t="s">
        <v>18</v>
      </c>
      <c r="C373" s="500">
        <v>4</v>
      </c>
      <c r="D373" s="502">
        <f>C373/totalm</f>
        <v>0.018957345971563982</v>
      </c>
      <c r="E373" s="507" t="s">
        <v>19</v>
      </c>
      <c r="F373" s="500">
        <v>3</v>
      </c>
      <c r="G373" s="502">
        <f>F373/totalf</f>
        <v>0.0069124423963133645</v>
      </c>
      <c r="H373" s="503" t="s">
        <v>19</v>
      </c>
      <c r="I373" s="482"/>
      <c r="J373" s="465"/>
      <c r="K373" s="468"/>
    </row>
    <row r="374" spans="1:11" ht="11.25">
      <c r="A374" s="497" t="s">
        <v>357</v>
      </c>
      <c r="B374" s="518" t="s">
        <v>402</v>
      </c>
      <c r="C374" s="467"/>
      <c r="D374" s="496"/>
      <c r="E374" s="524"/>
      <c r="F374" s="467"/>
      <c r="G374" s="496"/>
      <c r="H374" s="519"/>
      <c r="I374" s="482"/>
      <c r="J374" s="465"/>
      <c r="K374" s="468"/>
    </row>
    <row r="375" spans="1:11" ht="11.25">
      <c r="A375" s="482"/>
      <c r="B375" s="518" t="s">
        <v>396</v>
      </c>
      <c r="C375" s="467">
        <v>67</v>
      </c>
      <c r="D375" s="496">
        <f>C375/totalm</f>
        <v>0.3175355450236967</v>
      </c>
      <c r="E375" s="522">
        <f>C375/(totalm-q19enm)</f>
        <v>0.32367149758454106</v>
      </c>
      <c r="F375" s="467">
        <v>161</v>
      </c>
      <c r="G375" s="496">
        <f>F375/totalf</f>
        <v>0.3709677419354839</v>
      </c>
      <c r="H375" s="496">
        <f>F375/(totalf-q19enf)</f>
        <v>0.37354988399071926</v>
      </c>
      <c r="I375" s="482"/>
      <c r="J375" s="465"/>
      <c r="K375" s="468"/>
    </row>
    <row r="376" spans="1:11" ht="11.25">
      <c r="A376" s="482"/>
      <c r="B376" s="518" t="s">
        <v>397</v>
      </c>
      <c r="C376" s="467">
        <v>74</v>
      </c>
      <c r="D376" s="496">
        <f>C376/totalm</f>
        <v>0.35071090047393366</v>
      </c>
      <c r="E376" s="522">
        <f>C376/(totalm-q19enm)</f>
        <v>0.357487922705314</v>
      </c>
      <c r="F376" s="467">
        <v>163</v>
      </c>
      <c r="G376" s="496">
        <f>F376/totalf</f>
        <v>0.37557603686635943</v>
      </c>
      <c r="H376" s="496">
        <f>F376/(totalf-q19enf)</f>
        <v>0.37819025522041766</v>
      </c>
      <c r="I376" s="482"/>
      <c r="J376" s="465"/>
      <c r="K376" s="468"/>
    </row>
    <row r="377" spans="1:11" ht="11.25">
      <c r="A377" s="482"/>
      <c r="B377" s="518" t="s">
        <v>398</v>
      </c>
      <c r="C377" s="467">
        <v>66</v>
      </c>
      <c r="D377" s="496">
        <f>C377/totalm</f>
        <v>0.3127962085308057</v>
      </c>
      <c r="E377" s="522">
        <f>C377/(totalm-q19enm)</f>
        <v>0.3188405797101449</v>
      </c>
      <c r="F377" s="467">
        <v>107</v>
      </c>
      <c r="G377" s="496">
        <f>F377/totalf</f>
        <v>0.2465437788018433</v>
      </c>
      <c r="H377" s="496">
        <f>F377/(totalf-q19enf)</f>
        <v>0.2482598607888631</v>
      </c>
      <c r="I377" s="482"/>
      <c r="J377" s="465"/>
      <c r="K377" s="468"/>
    </row>
    <row r="378" spans="1:11" ht="11.25">
      <c r="A378" s="499"/>
      <c r="B378" s="523" t="s">
        <v>18</v>
      </c>
      <c r="C378" s="500">
        <v>4</v>
      </c>
      <c r="D378" s="502">
        <f>C378/totalm</f>
        <v>0.018957345971563982</v>
      </c>
      <c r="E378" s="507" t="s">
        <v>19</v>
      </c>
      <c r="F378" s="500">
        <v>3</v>
      </c>
      <c r="G378" s="502">
        <f>F378/totalf</f>
        <v>0.0069124423963133645</v>
      </c>
      <c r="H378" s="503" t="s">
        <v>19</v>
      </c>
      <c r="I378" s="482"/>
      <c r="J378" s="465"/>
      <c r="K378" s="468"/>
    </row>
    <row r="379" spans="1:11" ht="11.25">
      <c r="A379" s="497" t="s">
        <v>361</v>
      </c>
      <c r="B379" s="518" t="s">
        <v>403</v>
      </c>
      <c r="C379" s="467"/>
      <c r="D379" s="496"/>
      <c r="E379" s="524"/>
      <c r="F379" s="467"/>
      <c r="G379" s="496"/>
      <c r="H379" s="519"/>
      <c r="I379" s="482"/>
      <c r="J379" s="465"/>
      <c r="K379" s="468"/>
    </row>
    <row r="380" spans="1:11" ht="11.25">
      <c r="A380" s="482"/>
      <c r="B380" s="518" t="s">
        <v>396</v>
      </c>
      <c r="C380" s="467">
        <v>20</v>
      </c>
      <c r="D380" s="496">
        <f>C380/totalm</f>
        <v>0.0947867298578199</v>
      </c>
      <c r="E380" s="522">
        <f>C380/(totalm-q19fnm)</f>
        <v>0.0966183574879227</v>
      </c>
      <c r="F380" s="467">
        <v>27</v>
      </c>
      <c r="G380" s="496">
        <f>F380/totalf</f>
        <v>0.06221198156682028</v>
      </c>
      <c r="H380" s="496">
        <f>F380/(totalf-q19fnf)</f>
        <v>0.06293706293706294</v>
      </c>
      <c r="I380" s="482"/>
      <c r="J380" s="465"/>
      <c r="K380" s="468"/>
    </row>
    <row r="381" spans="1:11" ht="11.25">
      <c r="A381" s="482"/>
      <c r="B381" s="518" t="s">
        <v>397</v>
      </c>
      <c r="C381" s="467">
        <v>44</v>
      </c>
      <c r="D381" s="496">
        <f>C381/totalm</f>
        <v>0.20853080568720378</v>
      </c>
      <c r="E381" s="522">
        <f>C381/(totalm-q19fnm)</f>
        <v>0.21256038647342995</v>
      </c>
      <c r="F381" s="467">
        <v>69</v>
      </c>
      <c r="G381" s="496">
        <f>F381/totalf</f>
        <v>0.15898617511520738</v>
      </c>
      <c r="H381" s="496">
        <f>F381/(totalf-q19fnf)</f>
        <v>0.16083916083916083</v>
      </c>
      <c r="I381" s="482"/>
      <c r="J381" s="465"/>
      <c r="K381" s="468"/>
    </row>
    <row r="382" spans="1:11" ht="11.25">
      <c r="A382" s="482"/>
      <c r="B382" s="518" t="s">
        <v>398</v>
      </c>
      <c r="C382" s="467">
        <v>143</v>
      </c>
      <c r="D382" s="496">
        <f>C382/totalm</f>
        <v>0.6777251184834123</v>
      </c>
      <c r="E382" s="522">
        <f>C382/(totalm-q19fnm)</f>
        <v>0.6908212560386473</v>
      </c>
      <c r="F382" s="467">
        <v>333</v>
      </c>
      <c r="G382" s="496">
        <f>F382/totalf</f>
        <v>0.7672811059907834</v>
      </c>
      <c r="H382" s="496">
        <f>F382/(totalf-q19fnf)</f>
        <v>0.7762237762237763</v>
      </c>
      <c r="I382" s="482"/>
      <c r="J382" s="465"/>
      <c r="K382" s="468"/>
    </row>
    <row r="383" spans="1:11" ht="11.25">
      <c r="A383" s="485"/>
      <c r="B383" s="472" t="s">
        <v>18</v>
      </c>
      <c r="C383" s="471">
        <v>4</v>
      </c>
      <c r="D383" s="512">
        <f>C383/totalm</f>
        <v>0.018957345971563982</v>
      </c>
      <c r="E383" s="513" t="s">
        <v>19</v>
      </c>
      <c r="F383" s="471">
        <v>5</v>
      </c>
      <c r="G383" s="512">
        <f>F383/totalf</f>
        <v>0.01152073732718894</v>
      </c>
      <c r="H383" s="488" t="s">
        <v>19</v>
      </c>
      <c r="I383" s="485"/>
      <c r="J383" s="470"/>
      <c r="K383" s="486"/>
    </row>
    <row r="384" spans="1:11" ht="12.75">
      <c r="A384" s="458" t="s">
        <v>337</v>
      </c>
      <c r="B384" s="459"/>
      <c r="C384" s="460"/>
      <c r="D384" s="510"/>
      <c r="E384" s="510"/>
      <c r="F384" s="461"/>
      <c r="G384" s="516"/>
      <c r="H384" s="516"/>
      <c r="I384" s="461"/>
      <c r="J384" s="461"/>
      <c r="K384" s="462" t="s">
        <v>414</v>
      </c>
    </row>
    <row r="385" spans="1:11" ht="12.75">
      <c r="A385" s="464" t="s">
        <v>313</v>
      </c>
      <c r="B385" s="465"/>
      <c r="C385" s="466"/>
      <c r="D385" s="466"/>
      <c r="E385" s="466"/>
      <c r="F385" s="467"/>
      <c r="G385" s="467"/>
      <c r="H385" s="467"/>
      <c r="I385" s="467"/>
      <c r="J385" s="467"/>
      <c r="K385" s="468"/>
    </row>
    <row r="386" spans="1:11" ht="12.75">
      <c r="A386" s="6" t="s">
        <v>339</v>
      </c>
      <c r="B386" s="465"/>
      <c r="C386" s="466"/>
      <c r="D386" s="466"/>
      <c r="E386" s="466"/>
      <c r="F386" s="467"/>
      <c r="G386" s="467"/>
      <c r="H386" s="467"/>
      <c r="I386" s="467"/>
      <c r="J386" s="467"/>
      <c r="K386" s="468"/>
    </row>
    <row r="387" spans="1:15" ht="12.75">
      <c r="A387" s="469" t="s">
        <v>340</v>
      </c>
      <c r="B387" s="470"/>
      <c r="C387" s="470"/>
      <c r="D387" s="470"/>
      <c r="E387" s="470"/>
      <c r="F387" s="470"/>
      <c r="G387" s="470"/>
      <c r="H387" s="471"/>
      <c r="I387" s="471"/>
      <c r="J387" s="471"/>
      <c r="K387" s="472"/>
      <c r="L387" s="473"/>
      <c r="M387" s="474"/>
      <c r="N387" s="473"/>
      <c r="O387" s="473"/>
    </row>
    <row r="388" spans="1:11" ht="15.75" customHeight="1">
      <c r="A388" s="475"/>
      <c r="B388" s="476"/>
      <c r="C388" s="525" t="s">
        <v>153</v>
      </c>
      <c r="D388" s="526"/>
      <c r="E388" s="526"/>
      <c r="F388" s="525" t="s">
        <v>154</v>
      </c>
      <c r="G388" s="526"/>
      <c r="H388" s="541"/>
      <c r="I388" s="478"/>
      <c r="J388" s="459"/>
      <c r="K388" s="476"/>
    </row>
    <row r="389" spans="1:11" ht="10.5" customHeight="1">
      <c r="A389" s="482"/>
      <c r="B389" s="468"/>
      <c r="C389" s="527"/>
      <c r="D389" s="528" t="s">
        <v>5</v>
      </c>
      <c r="E389" s="528" t="s">
        <v>5</v>
      </c>
      <c r="F389" s="527"/>
      <c r="G389" s="528" t="s">
        <v>5</v>
      </c>
      <c r="H389" s="462" t="s">
        <v>5</v>
      </c>
      <c r="I389" s="482"/>
      <c r="J389" s="465"/>
      <c r="K389" s="468"/>
    </row>
    <row r="390" spans="1:11" ht="10.5" customHeight="1">
      <c r="A390" s="480"/>
      <c r="B390" s="481" t="s">
        <v>408</v>
      </c>
      <c r="C390" s="529"/>
      <c r="D390" s="530" t="s">
        <v>7</v>
      </c>
      <c r="E390" s="530" t="s">
        <v>8</v>
      </c>
      <c r="F390" s="529"/>
      <c r="G390" s="530" t="s">
        <v>7</v>
      </c>
      <c r="H390" s="542" t="s">
        <v>8</v>
      </c>
      <c r="I390" s="482"/>
      <c r="J390" s="465"/>
      <c r="K390" s="468"/>
    </row>
    <row r="391" spans="1:11" ht="10.5" customHeight="1">
      <c r="A391" s="485"/>
      <c r="B391" s="486"/>
      <c r="C391" s="531" t="s">
        <v>9</v>
      </c>
      <c r="D391" s="532" t="s">
        <v>10</v>
      </c>
      <c r="E391" s="532" t="s">
        <v>10</v>
      </c>
      <c r="F391" s="531" t="s">
        <v>9</v>
      </c>
      <c r="G391" s="532" t="s">
        <v>10</v>
      </c>
      <c r="H391" s="543" t="s">
        <v>10</v>
      </c>
      <c r="I391" s="482"/>
      <c r="J391" s="465"/>
      <c r="K391" s="468"/>
    </row>
    <row r="392" spans="1:11" ht="10.5" customHeight="1">
      <c r="A392" s="497" t="s">
        <v>363</v>
      </c>
      <c r="B392" s="518" t="s">
        <v>404</v>
      </c>
      <c r="C392" s="467"/>
      <c r="D392" s="496"/>
      <c r="E392" s="524"/>
      <c r="F392" s="467"/>
      <c r="G392" s="496"/>
      <c r="H392" s="524"/>
      <c r="I392" s="482"/>
      <c r="J392" s="465"/>
      <c r="K392" s="468"/>
    </row>
    <row r="393" spans="1:11" ht="10.5" customHeight="1">
      <c r="A393" s="482"/>
      <c r="B393" s="518" t="s">
        <v>396</v>
      </c>
      <c r="C393" s="467">
        <v>50</v>
      </c>
      <c r="D393" s="496">
        <f>C393/totalm</f>
        <v>0.23696682464454977</v>
      </c>
      <c r="E393" s="522">
        <f>C393/(totalm-q19gnm)</f>
        <v>0.24271844660194175</v>
      </c>
      <c r="F393" s="467">
        <v>129</v>
      </c>
      <c r="G393" s="496">
        <f>F393/totalf</f>
        <v>0.29723502304147464</v>
      </c>
      <c r="H393" s="522">
        <f>F393/(totalf-q19gnf)</f>
        <v>0.2986111111111111</v>
      </c>
      <c r="I393" s="482"/>
      <c r="J393" s="465"/>
      <c r="K393" s="468"/>
    </row>
    <row r="394" spans="1:11" ht="10.5" customHeight="1">
      <c r="A394" s="482"/>
      <c r="B394" s="518" t="s">
        <v>397</v>
      </c>
      <c r="C394" s="467">
        <v>52</v>
      </c>
      <c r="D394" s="496">
        <f>C394/totalm</f>
        <v>0.24644549763033174</v>
      </c>
      <c r="E394" s="522">
        <f>C394/(totalm-q19gnm)</f>
        <v>0.2524271844660194</v>
      </c>
      <c r="F394" s="467">
        <v>127</v>
      </c>
      <c r="G394" s="496">
        <f>F394/totalf</f>
        <v>0.2926267281105991</v>
      </c>
      <c r="H394" s="522">
        <f>F394/(totalf-q19gnf)</f>
        <v>0.29398148148148145</v>
      </c>
      <c r="I394" s="482"/>
      <c r="J394" s="465"/>
      <c r="K394" s="468"/>
    </row>
    <row r="395" spans="1:11" ht="10.5" customHeight="1">
      <c r="A395" s="482"/>
      <c r="B395" s="518" t="s">
        <v>398</v>
      </c>
      <c r="C395" s="467">
        <v>104</v>
      </c>
      <c r="D395" s="496">
        <f>C395/totalm</f>
        <v>0.4928909952606635</v>
      </c>
      <c r="E395" s="522">
        <f>C395/(totalm-q19gnm)</f>
        <v>0.5048543689320388</v>
      </c>
      <c r="F395" s="467">
        <v>176</v>
      </c>
      <c r="G395" s="496">
        <f>F395/totalf</f>
        <v>0.4055299539170507</v>
      </c>
      <c r="H395" s="522">
        <f>F395/(totalf-q19gnf)</f>
        <v>0.4074074074074074</v>
      </c>
      <c r="I395" s="482"/>
      <c r="J395" s="465"/>
      <c r="K395" s="468"/>
    </row>
    <row r="396" spans="1:11" ht="10.5" customHeight="1">
      <c r="A396" s="499"/>
      <c r="B396" s="523" t="s">
        <v>18</v>
      </c>
      <c r="C396" s="500">
        <v>5</v>
      </c>
      <c r="D396" s="502">
        <f>C396/totalm</f>
        <v>0.023696682464454975</v>
      </c>
      <c r="E396" s="507" t="s">
        <v>19</v>
      </c>
      <c r="F396" s="500">
        <v>2</v>
      </c>
      <c r="G396" s="502">
        <f>F396/totalf</f>
        <v>0.004608294930875576</v>
      </c>
      <c r="H396" s="507" t="s">
        <v>19</v>
      </c>
      <c r="I396" s="482"/>
      <c r="J396" s="465"/>
      <c r="K396" s="468"/>
    </row>
    <row r="397" spans="1:11" ht="10.5" customHeight="1">
      <c r="A397" s="497" t="s">
        <v>365</v>
      </c>
      <c r="B397" s="518" t="s">
        <v>405</v>
      </c>
      <c r="C397" s="467"/>
      <c r="D397" s="496"/>
      <c r="E397" s="524"/>
      <c r="F397" s="467"/>
      <c r="G397" s="496"/>
      <c r="H397" s="524"/>
      <c r="I397" s="482"/>
      <c r="J397" s="465"/>
      <c r="K397" s="468"/>
    </row>
    <row r="398" spans="1:11" ht="10.5" customHeight="1">
      <c r="A398" s="482"/>
      <c r="B398" s="518" t="s">
        <v>396</v>
      </c>
      <c r="C398" s="467">
        <v>36</v>
      </c>
      <c r="D398" s="496">
        <f>C398/totalm</f>
        <v>0.17061611374407584</v>
      </c>
      <c r="E398" s="522">
        <f>C398/(totalm-q19hnm)</f>
        <v>0.17391304347826086</v>
      </c>
      <c r="F398" s="467">
        <v>78</v>
      </c>
      <c r="G398" s="496">
        <f>F398/totalf</f>
        <v>0.17972350230414746</v>
      </c>
      <c r="H398" s="522">
        <f>F398/(totalf-q19hnf)</f>
        <v>0.18055555555555555</v>
      </c>
      <c r="I398" s="482"/>
      <c r="J398" s="465"/>
      <c r="K398" s="468"/>
    </row>
    <row r="399" spans="1:11" ht="10.5" customHeight="1">
      <c r="A399" s="482"/>
      <c r="B399" s="518" t="s">
        <v>397</v>
      </c>
      <c r="C399" s="467">
        <v>54</v>
      </c>
      <c r="D399" s="496">
        <f>C399/totalm</f>
        <v>0.2559241706161137</v>
      </c>
      <c r="E399" s="522">
        <f>C399/(totalm-q19hnm)</f>
        <v>0.2608695652173913</v>
      </c>
      <c r="F399" s="467">
        <v>136</v>
      </c>
      <c r="G399" s="496">
        <f>F399/totalf</f>
        <v>0.31336405529953915</v>
      </c>
      <c r="H399" s="522">
        <f>F399/(totalf-q19hnf)</f>
        <v>0.3148148148148148</v>
      </c>
      <c r="I399" s="482"/>
      <c r="J399" s="465"/>
      <c r="K399" s="468"/>
    </row>
    <row r="400" spans="1:11" ht="10.5" customHeight="1">
      <c r="A400" s="482"/>
      <c r="B400" s="518" t="s">
        <v>398</v>
      </c>
      <c r="C400" s="467">
        <v>117</v>
      </c>
      <c r="D400" s="496">
        <f>C400/totalm</f>
        <v>0.5545023696682464</v>
      </c>
      <c r="E400" s="522">
        <f>C400/(totalm-q19hnm)</f>
        <v>0.5652173913043478</v>
      </c>
      <c r="F400" s="467">
        <v>216</v>
      </c>
      <c r="G400" s="496">
        <f>F400/totalf</f>
        <v>0.4976958525345622</v>
      </c>
      <c r="H400" s="522">
        <f>F400/(totalf-q19hnf)</f>
        <v>0.5</v>
      </c>
      <c r="I400" s="482"/>
      <c r="J400" s="465"/>
      <c r="K400" s="468"/>
    </row>
    <row r="401" spans="1:11" ht="10.5" customHeight="1">
      <c r="A401" s="499"/>
      <c r="B401" s="523" t="s">
        <v>18</v>
      </c>
      <c r="C401" s="511">
        <v>4</v>
      </c>
      <c r="D401" s="512">
        <f>C401/totalm</f>
        <v>0.018957345971563982</v>
      </c>
      <c r="E401" s="513" t="s">
        <v>19</v>
      </c>
      <c r="F401" s="471">
        <v>4</v>
      </c>
      <c r="G401" s="512">
        <f>F401/totalf</f>
        <v>0.009216589861751152</v>
      </c>
      <c r="H401" s="513" t="s">
        <v>19</v>
      </c>
      <c r="I401" s="482"/>
      <c r="J401" s="465"/>
      <c r="K401" s="468"/>
    </row>
    <row r="402" spans="1:11" ht="10.5" customHeight="1">
      <c r="A402" s="497" t="s">
        <v>367</v>
      </c>
      <c r="B402" s="518" t="s">
        <v>406</v>
      </c>
      <c r="C402" s="467"/>
      <c r="D402" s="496"/>
      <c r="E402" s="524"/>
      <c r="F402" s="467"/>
      <c r="G402" s="496"/>
      <c r="H402" s="524"/>
      <c r="I402" s="482"/>
      <c r="J402" s="465"/>
      <c r="K402" s="468"/>
    </row>
    <row r="403" spans="1:11" ht="10.5" customHeight="1">
      <c r="A403" s="482"/>
      <c r="B403" s="518" t="s">
        <v>396</v>
      </c>
      <c r="C403" s="467">
        <v>101</v>
      </c>
      <c r="D403" s="496">
        <f>C403/totalm</f>
        <v>0.4786729857819905</v>
      </c>
      <c r="E403" s="522">
        <f>C403/(totalm-q19hnm)</f>
        <v>0.48792270531400966</v>
      </c>
      <c r="F403" s="467">
        <v>282</v>
      </c>
      <c r="G403" s="496">
        <f>F403/totalf</f>
        <v>0.6497695852534562</v>
      </c>
      <c r="H403" s="522">
        <f>F403/(totalf-q19hnf)</f>
        <v>0.6527777777777778</v>
      </c>
      <c r="I403" s="482"/>
      <c r="J403" s="465"/>
      <c r="K403" s="468"/>
    </row>
    <row r="404" spans="1:11" ht="10.5" customHeight="1">
      <c r="A404" s="482"/>
      <c r="B404" s="518" t="s">
        <v>397</v>
      </c>
      <c r="C404" s="467">
        <v>66</v>
      </c>
      <c r="D404" s="496">
        <f>C404/totalm</f>
        <v>0.3127962085308057</v>
      </c>
      <c r="E404" s="522">
        <f>C404/(totalm-q19hnm)</f>
        <v>0.3188405797101449</v>
      </c>
      <c r="F404" s="467">
        <v>100</v>
      </c>
      <c r="G404" s="496">
        <f>F404/totalf</f>
        <v>0.2304147465437788</v>
      </c>
      <c r="H404" s="522">
        <f>F404/(totalf-q19hnf)</f>
        <v>0.23148148148148148</v>
      </c>
      <c r="I404" s="482"/>
      <c r="J404" s="465"/>
      <c r="K404" s="468"/>
    </row>
    <row r="405" spans="1:11" ht="10.5" customHeight="1">
      <c r="A405" s="482"/>
      <c r="B405" s="518" t="s">
        <v>398</v>
      </c>
      <c r="C405" s="467">
        <v>40</v>
      </c>
      <c r="D405" s="496">
        <f>C405/totalm</f>
        <v>0.1895734597156398</v>
      </c>
      <c r="E405" s="522">
        <f>C405/(totalm-q19hnm)</f>
        <v>0.1932367149758454</v>
      </c>
      <c r="F405" s="467">
        <v>50</v>
      </c>
      <c r="G405" s="496">
        <f>F405/totalf</f>
        <v>0.1152073732718894</v>
      </c>
      <c r="H405" s="522">
        <f>F405/(totalf-q19hnf)</f>
        <v>0.11574074074074074</v>
      </c>
      <c r="I405" s="482"/>
      <c r="J405" s="465"/>
      <c r="K405" s="468"/>
    </row>
    <row r="406" spans="1:11" ht="10.5" customHeight="1">
      <c r="A406" s="499"/>
      <c r="B406" s="523" t="s">
        <v>18</v>
      </c>
      <c r="C406" s="511">
        <v>4</v>
      </c>
      <c r="D406" s="512">
        <f>C406/totalm</f>
        <v>0.018957345971563982</v>
      </c>
      <c r="E406" s="513" t="s">
        <v>19</v>
      </c>
      <c r="F406" s="471">
        <v>2</v>
      </c>
      <c r="G406" s="512">
        <f>F406/totalf</f>
        <v>0.004608294930875576</v>
      </c>
      <c r="H406" s="513" t="s">
        <v>19</v>
      </c>
      <c r="I406" s="482"/>
      <c r="J406" s="465"/>
      <c r="K406" s="468"/>
    </row>
    <row r="407" spans="1:11" ht="15.75" customHeight="1">
      <c r="A407" s="478"/>
      <c r="B407" s="476"/>
      <c r="C407" s="525" t="s">
        <v>185</v>
      </c>
      <c r="D407" s="544"/>
      <c r="E407" s="545"/>
      <c r="F407" s="525" t="s">
        <v>186</v>
      </c>
      <c r="G407" s="544"/>
      <c r="H407" s="545"/>
      <c r="I407" s="525" t="s">
        <v>187</v>
      </c>
      <c r="J407" s="526"/>
      <c r="K407" s="541"/>
    </row>
    <row r="408" spans="1:12" ht="10.5" customHeight="1">
      <c r="A408" s="482"/>
      <c r="B408" s="468"/>
      <c r="C408" s="497"/>
      <c r="D408" s="530" t="s">
        <v>5</v>
      </c>
      <c r="E408" s="542" t="s">
        <v>5</v>
      </c>
      <c r="F408" s="497"/>
      <c r="G408" s="530" t="s">
        <v>5</v>
      </c>
      <c r="H408" s="542" t="s">
        <v>5</v>
      </c>
      <c r="I408" s="497"/>
      <c r="J408" s="530" t="s">
        <v>5</v>
      </c>
      <c r="K408" s="542" t="s">
        <v>5</v>
      </c>
      <c r="L408" s="546"/>
    </row>
    <row r="409" spans="1:12" ht="10.5" customHeight="1">
      <c r="A409" s="480"/>
      <c r="B409" s="481" t="s">
        <v>188</v>
      </c>
      <c r="C409" s="497"/>
      <c r="D409" s="530" t="s">
        <v>7</v>
      </c>
      <c r="E409" s="542" t="s">
        <v>8</v>
      </c>
      <c r="F409" s="497"/>
      <c r="G409" s="530" t="s">
        <v>7</v>
      </c>
      <c r="H409" s="542" t="s">
        <v>8</v>
      </c>
      <c r="I409" s="497"/>
      <c r="J409" s="530" t="s">
        <v>7</v>
      </c>
      <c r="K409" s="542" t="s">
        <v>8</v>
      </c>
      <c r="L409" s="546"/>
    </row>
    <row r="410" spans="1:12" ht="10.5" customHeight="1">
      <c r="A410" s="485"/>
      <c r="B410" s="486"/>
      <c r="C410" s="531" t="s">
        <v>9</v>
      </c>
      <c r="D410" s="532" t="s">
        <v>10</v>
      </c>
      <c r="E410" s="543" t="s">
        <v>10</v>
      </c>
      <c r="F410" s="531" t="s">
        <v>9</v>
      </c>
      <c r="G410" s="532" t="s">
        <v>10</v>
      </c>
      <c r="H410" s="543" t="s">
        <v>10</v>
      </c>
      <c r="I410" s="531" t="s">
        <v>9</v>
      </c>
      <c r="J410" s="532" t="s">
        <v>10</v>
      </c>
      <c r="K410" s="543" t="s">
        <v>10</v>
      </c>
      <c r="L410" s="547"/>
    </row>
    <row r="411" spans="1:11" ht="16.5" customHeight="1">
      <c r="A411" s="533" t="s">
        <v>11</v>
      </c>
      <c r="B411" s="534"/>
      <c r="C411" s="533">
        <v>582</v>
      </c>
      <c r="D411" s="535">
        <v>1</v>
      </c>
      <c r="E411" s="548"/>
      <c r="F411" s="534">
        <v>41</v>
      </c>
      <c r="G411" s="535">
        <v>1</v>
      </c>
      <c r="H411" s="549"/>
      <c r="I411" s="533">
        <v>22</v>
      </c>
      <c r="J411" s="535">
        <v>1</v>
      </c>
      <c r="K411" s="536"/>
    </row>
    <row r="412" spans="1:11" ht="11.25">
      <c r="A412" s="493" t="s">
        <v>341</v>
      </c>
      <c r="B412" s="494" t="s">
        <v>342</v>
      </c>
      <c r="C412" s="495"/>
      <c r="D412" s="496"/>
      <c r="E412" s="468"/>
      <c r="F412" s="495"/>
      <c r="G412" s="496"/>
      <c r="H412" s="468"/>
      <c r="I412" s="495"/>
      <c r="J412" s="496"/>
      <c r="K412" s="468"/>
    </row>
    <row r="413" spans="1:11" ht="10.5" customHeight="1">
      <c r="A413" s="497" t="s">
        <v>343</v>
      </c>
      <c r="B413" s="467" t="s">
        <v>344</v>
      </c>
      <c r="C413" s="482"/>
      <c r="D413" s="465"/>
      <c r="E413" s="468"/>
      <c r="F413" s="482"/>
      <c r="G413" s="465"/>
      <c r="H413" s="468"/>
      <c r="I413" s="482"/>
      <c r="J413" s="465"/>
      <c r="K413" s="468"/>
    </row>
    <row r="414" spans="1:11" ht="10.5" customHeight="1">
      <c r="A414" s="482"/>
      <c r="B414" s="467" t="s">
        <v>345</v>
      </c>
      <c r="C414" s="495">
        <v>72</v>
      </c>
      <c r="D414" s="496">
        <f aca="true" t="shared" si="44" ref="D414:D419">C414/totalw</f>
        <v>0.12371134020618557</v>
      </c>
      <c r="E414" s="522">
        <f>C414/(totalw-q15anw)</f>
        <v>0.1245674740484429</v>
      </c>
      <c r="F414" s="495">
        <v>8</v>
      </c>
      <c r="G414" s="496">
        <f aca="true" t="shared" si="45" ref="G414:G419">F414/totalb</f>
        <v>0.1951219512195122</v>
      </c>
      <c r="H414" s="522">
        <f>F414/(totalb-q15anb)</f>
        <v>0.1951219512195122</v>
      </c>
      <c r="I414" s="495">
        <v>2</v>
      </c>
      <c r="J414" s="496">
        <f aca="true" t="shared" si="46" ref="J414:J419">I414/totalo</f>
        <v>0.09090909090909091</v>
      </c>
      <c r="K414" s="522">
        <f>I414/(totalo-q15ano)</f>
        <v>0.09523809523809523</v>
      </c>
    </row>
    <row r="415" spans="1:11" ht="10.5" customHeight="1">
      <c r="A415" s="482"/>
      <c r="B415" s="467" t="s">
        <v>346</v>
      </c>
      <c r="C415" s="495">
        <v>295</v>
      </c>
      <c r="D415" s="496">
        <f t="shared" si="44"/>
        <v>0.506872852233677</v>
      </c>
      <c r="E415" s="522">
        <f>C415/(totalw-q15anw)</f>
        <v>0.5103806228373703</v>
      </c>
      <c r="F415" s="495">
        <v>18</v>
      </c>
      <c r="G415" s="496">
        <f t="shared" si="45"/>
        <v>0.43902439024390244</v>
      </c>
      <c r="H415" s="522">
        <f>F415/(totalb-q15anb)</f>
        <v>0.43902439024390244</v>
      </c>
      <c r="I415" s="495">
        <v>10</v>
      </c>
      <c r="J415" s="496">
        <f t="shared" si="46"/>
        <v>0.45454545454545453</v>
      </c>
      <c r="K415" s="522">
        <f>I415/(totalo-q15ano)</f>
        <v>0.47619047619047616</v>
      </c>
    </row>
    <row r="416" spans="1:11" ht="10.5" customHeight="1">
      <c r="A416" s="482"/>
      <c r="B416" s="467" t="s">
        <v>347</v>
      </c>
      <c r="C416" s="495">
        <v>170</v>
      </c>
      <c r="D416" s="496">
        <f t="shared" si="44"/>
        <v>0.2920962199312715</v>
      </c>
      <c r="E416" s="522">
        <f>C416/(totalw-q15anw)</f>
        <v>0.29411764705882354</v>
      </c>
      <c r="F416" s="495">
        <v>9</v>
      </c>
      <c r="G416" s="496">
        <f t="shared" si="45"/>
        <v>0.21951219512195122</v>
      </c>
      <c r="H416" s="522">
        <f>F416/(totalb-q15anb)</f>
        <v>0.21951219512195122</v>
      </c>
      <c r="I416" s="495">
        <v>8</v>
      </c>
      <c r="J416" s="496">
        <f t="shared" si="46"/>
        <v>0.36363636363636365</v>
      </c>
      <c r="K416" s="522">
        <f>I416/(totalo-q15ano)</f>
        <v>0.38095238095238093</v>
      </c>
    </row>
    <row r="417" spans="1:11" ht="10.5" customHeight="1">
      <c r="A417" s="482"/>
      <c r="B417" s="467" t="s">
        <v>348</v>
      </c>
      <c r="C417" s="495">
        <v>32</v>
      </c>
      <c r="D417" s="496">
        <f t="shared" si="44"/>
        <v>0.054982817869415807</v>
      </c>
      <c r="E417" s="522">
        <f>C417/(totalw-q15anw)</f>
        <v>0.05536332179930796</v>
      </c>
      <c r="F417" s="495">
        <v>6</v>
      </c>
      <c r="G417" s="496">
        <f t="shared" si="45"/>
        <v>0.14634146341463414</v>
      </c>
      <c r="H417" s="522">
        <f>F417/(totalb-q15anb)</f>
        <v>0.14634146341463414</v>
      </c>
      <c r="I417" s="495">
        <v>1</v>
      </c>
      <c r="J417" s="496">
        <f t="shared" si="46"/>
        <v>0.045454545454545456</v>
      </c>
      <c r="K417" s="522">
        <f>I417/(totalo-q15ano)</f>
        <v>0.047619047619047616</v>
      </c>
    </row>
    <row r="418" spans="1:11" ht="10.5" customHeight="1">
      <c r="A418" s="482"/>
      <c r="B418" s="467" t="s">
        <v>349</v>
      </c>
      <c r="C418" s="495">
        <v>9</v>
      </c>
      <c r="D418" s="496">
        <f t="shared" si="44"/>
        <v>0.015463917525773196</v>
      </c>
      <c r="E418" s="522">
        <f>C418/(totalw-q15anw)</f>
        <v>0.015570934256055362</v>
      </c>
      <c r="F418" s="495">
        <v>0</v>
      </c>
      <c r="G418" s="496">
        <f t="shared" si="45"/>
        <v>0</v>
      </c>
      <c r="H418" s="522">
        <f>F418/(totalb-q15anb)</f>
        <v>0</v>
      </c>
      <c r="I418" s="495">
        <v>0</v>
      </c>
      <c r="J418" s="496">
        <f t="shared" si="46"/>
        <v>0</v>
      </c>
      <c r="K418" s="522">
        <f>I418/(totalo-q15ano)</f>
        <v>0</v>
      </c>
    </row>
    <row r="419" spans="1:11" ht="10.5" customHeight="1">
      <c r="A419" s="499"/>
      <c r="B419" s="500" t="s">
        <v>18</v>
      </c>
      <c r="C419" s="501">
        <v>4</v>
      </c>
      <c r="D419" s="502">
        <f t="shared" si="44"/>
        <v>0.006872852233676976</v>
      </c>
      <c r="E419" s="507" t="s">
        <v>19</v>
      </c>
      <c r="F419" s="501">
        <v>0</v>
      </c>
      <c r="G419" s="502">
        <f t="shared" si="45"/>
        <v>0</v>
      </c>
      <c r="H419" s="507" t="s">
        <v>19</v>
      </c>
      <c r="I419" s="501">
        <v>1</v>
      </c>
      <c r="J419" s="502">
        <f t="shared" si="46"/>
        <v>0.045454545454545456</v>
      </c>
      <c r="K419" s="507" t="s">
        <v>19</v>
      </c>
    </row>
    <row r="420" spans="1:11" ht="10.5" customHeight="1">
      <c r="A420" s="504" t="s">
        <v>350</v>
      </c>
      <c r="B420" s="467" t="s">
        <v>351</v>
      </c>
      <c r="C420" s="482"/>
      <c r="D420" s="505"/>
      <c r="E420" s="537"/>
      <c r="F420" s="482"/>
      <c r="G420" s="505"/>
      <c r="H420" s="537"/>
      <c r="I420" s="482" t="s">
        <v>20</v>
      </c>
      <c r="J420" s="505"/>
      <c r="K420" s="537"/>
    </row>
    <row r="421" spans="1:11" ht="10.5" customHeight="1">
      <c r="A421" s="482"/>
      <c r="B421" s="467" t="s">
        <v>345</v>
      </c>
      <c r="C421" s="495">
        <v>65</v>
      </c>
      <c r="D421" s="496">
        <f aca="true" t="shared" si="47" ref="D421:D426">C421/totalw</f>
        <v>0.11168384879725086</v>
      </c>
      <c r="E421" s="522">
        <f>C421/(totalw-q15bnw)</f>
        <v>0.11265164644714037</v>
      </c>
      <c r="F421" s="495">
        <v>7</v>
      </c>
      <c r="G421" s="496">
        <f aca="true" t="shared" si="48" ref="G421:G426">F421/totalb</f>
        <v>0.17073170731707318</v>
      </c>
      <c r="H421" s="522">
        <f>F421/(totalb-q15bnb)</f>
        <v>0.17073170731707318</v>
      </c>
      <c r="I421" s="495">
        <v>3</v>
      </c>
      <c r="J421" s="496">
        <f aca="true" t="shared" si="49" ref="J421:J426">I421/totalo</f>
        <v>0.13636363636363635</v>
      </c>
      <c r="K421" s="522">
        <f>I421/(totalo-q15bno)</f>
        <v>0.14285714285714285</v>
      </c>
    </row>
    <row r="422" spans="1:11" ht="10.5" customHeight="1">
      <c r="A422" s="482"/>
      <c r="B422" s="467" t="s">
        <v>346</v>
      </c>
      <c r="C422" s="495">
        <v>212</v>
      </c>
      <c r="D422" s="496">
        <f t="shared" si="47"/>
        <v>0.3642611683848797</v>
      </c>
      <c r="E422" s="522">
        <f>C422/(totalw-q15bnw)</f>
        <v>0.36741767764298094</v>
      </c>
      <c r="F422" s="495">
        <v>17</v>
      </c>
      <c r="G422" s="496">
        <f t="shared" si="48"/>
        <v>0.4146341463414634</v>
      </c>
      <c r="H422" s="522">
        <f>F422/(totalb-q15bnb)</f>
        <v>0.4146341463414634</v>
      </c>
      <c r="I422" s="495">
        <v>7</v>
      </c>
      <c r="J422" s="496">
        <f t="shared" si="49"/>
        <v>0.3181818181818182</v>
      </c>
      <c r="K422" s="522">
        <f>I422/(totalo-q15bno)</f>
        <v>0.3333333333333333</v>
      </c>
    </row>
    <row r="423" spans="1:11" ht="10.5" customHeight="1">
      <c r="A423" s="482"/>
      <c r="B423" s="467" t="s">
        <v>347</v>
      </c>
      <c r="C423" s="495">
        <v>194</v>
      </c>
      <c r="D423" s="496">
        <f t="shared" si="47"/>
        <v>0.3333333333333333</v>
      </c>
      <c r="E423" s="522">
        <f>C423/(totalw-q15bnw)</f>
        <v>0.3362218370883882</v>
      </c>
      <c r="F423" s="495">
        <v>10</v>
      </c>
      <c r="G423" s="496">
        <f t="shared" si="48"/>
        <v>0.24390243902439024</v>
      </c>
      <c r="H423" s="522">
        <f>F423/(totalb-q15bnb)</f>
        <v>0.24390243902439024</v>
      </c>
      <c r="I423" s="495">
        <v>10</v>
      </c>
      <c r="J423" s="496">
        <f t="shared" si="49"/>
        <v>0.45454545454545453</v>
      </c>
      <c r="K423" s="522">
        <f>I423/(totalo-q15bno)</f>
        <v>0.47619047619047616</v>
      </c>
    </row>
    <row r="424" spans="1:11" ht="10.5" customHeight="1">
      <c r="A424" s="482"/>
      <c r="B424" s="467" t="s">
        <v>348</v>
      </c>
      <c r="C424" s="495">
        <v>70</v>
      </c>
      <c r="D424" s="496">
        <f t="shared" si="47"/>
        <v>0.12027491408934708</v>
      </c>
      <c r="E424" s="522">
        <f>C424/(totalw-q15bnw)</f>
        <v>0.12131715771230503</v>
      </c>
      <c r="F424" s="495">
        <v>6</v>
      </c>
      <c r="G424" s="496">
        <f t="shared" si="48"/>
        <v>0.14634146341463414</v>
      </c>
      <c r="H424" s="522">
        <f>F424/(totalb-q15bnb)</f>
        <v>0.14634146341463414</v>
      </c>
      <c r="I424" s="495">
        <v>1</v>
      </c>
      <c r="J424" s="496">
        <f t="shared" si="49"/>
        <v>0.045454545454545456</v>
      </c>
      <c r="K424" s="522">
        <f>I424/(totalo-q15bno)</f>
        <v>0.047619047619047616</v>
      </c>
    </row>
    <row r="425" spans="1:11" ht="10.5" customHeight="1">
      <c r="A425" s="482"/>
      <c r="B425" s="467" t="s">
        <v>349</v>
      </c>
      <c r="C425" s="495">
        <v>36</v>
      </c>
      <c r="D425" s="496">
        <f t="shared" si="47"/>
        <v>0.061855670103092786</v>
      </c>
      <c r="E425" s="522">
        <f>C425/(totalw-q15bnw)</f>
        <v>0.06239168110918544</v>
      </c>
      <c r="F425" s="495">
        <v>1</v>
      </c>
      <c r="G425" s="496">
        <f t="shared" si="48"/>
        <v>0.024390243902439025</v>
      </c>
      <c r="H425" s="522">
        <f>F425/(totalb-q15bnb)</f>
        <v>0.024390243902439025</v>
      </c>
      <c r="I425" s="495">
        <v>0</v>
      </c>
      <c r="J425" s="496">
        <f t="shared" si="49"/>
        <v>0</v>
      </c>
      <c r="K425" s="522">
        <f>I425/(totalo-q15bno)</f>
        <v>0</v>
      </c>
    </row>
    <row r="426" spans="1:11" ht="10.5" customHeight="1">
      <c r="A426" s="499"/>
      <c r="B426" s="500" t="s">
        <v>18</v>
      </c>
      <c r="C426" s="501">
        <v>5</v>
      </c>
      <c r="D426" s="502">
        <f t="shared" si="47"/>
        <v>0.00859106529209622</v>
      </c>
      <c r="E426" s="507" t="s">
        <v>19</v>
      </c>
      <c r="F426" s="501">
        <v>0</v>
      </c>
      <c r="G426" s="502">
        <f t="shared" si="48"/>
        <v>0</v>
      </c>
      <c r="H426" s="507" t="s">
        <v>19</v>
      </c>
      <c r="I426" s="501">
        <v>1</v>
      </c>
      <c r="J426" s="502">
        <f t="shared" si="49"/>
        <v>0.045454545454545456</v>
      </c>
      <c r="K426" s="507" t="s">
        <v>19</v>
      </c>
    </row>
    <row r="427" spans="1:11" ht="10.5" customHeight="1">
      <c r="A427" s="504" t="s">
        <v>352</v>
      </c>
      <c r="B427" s="467" t="s">
        <v>353</v>
      </c>
      <c r="C427" s="482"/>
      <c r="D427" s="505"/>
      <c r="E427" s="537"/>
      <c r="F427" s="482"/>
      <c r="G427" s="505"/>
      <c r="H427" s="537"/>
      <c r="I427" s="482"/>
      <c r="J427" s="505"/>
      <c r="K427" s="537"/>
    </row>
    <row r="428" spans="1:11" ht="10.5" customHeight="1">
      <c r="A428" s="504"/>
      <c r="B428" s="467" t="s">
        <v>354</v>
      </c>
      <c r="C428" s="482"/>
      <c r="D428" s="465"/>
      <c r="E428" s="468"/>
      <c r="F428" s="482"/>
      <c r="G428" s="465"/>
      <c r="H428" s="468"/>
      <c r="I428" s="482"/>
      <c r="J428" s="465"/>
      <c r="K428" s="468"/>
    </row>
    <row r="429" spans="1:11" ht="10.5" customHeight="1">
      <c r="A429" s="482"/>
      <c r="B429" s="467" t="s">
        <v>345</v>
      </c>
      <c r="C429" s="495">
        <v>132</v>
      </c>
      <c r="D429" s="496">
        <f aca="true" t="shared" si="50" ref="D429:D434">C429/totalw</f>
        <v>0.2268041237113402</v>
      </c>
      <c r="E429" s="522">
        <f>C429/(totalw-q15cnw)</f>
        <v>0.22876949740034663</v>
      </c>
      <c r="F429" s="495">
        <v>13</v>
      </c>
      <c r="G429" s="496">
        <f aca="true" t="shared" si="51" ref="G429:G434">F429/totalb</f>
        <v>0.3170731707317073</v>
      </c>
      <c r="H429" s="522">
        <f>F429/(totalb-q15cnb)</f>
        <v>0.3170731707317073</v>
      </c>
      <c r="I429" s="495">
        <v>7</v>
      </c>
      <c r="J429" s="496">
        <f aca="true" t="shared" si="52" ref="J429:J434">I429/totalo</f>
        <v>0.3181818181818182</v>
      </c>
      <c r="K429" s="522">
        <f>I429/(totalo-q15cno)</f>
        <v>0.3333333333333333</v>
      </c>
    </row>
    <row r="430" spans="1:11" ht="10.5" customHeight="1">
      <c r="A430" s="482"/>
      <c r="B430" s="467" t="s">
        <v>346</v>
      </c>
      <c r="C430" s="495">
        <v>226</v>
      </c>
      <c r="D430" s="496">
        <f t="shared" si="50"/>
        <v>0.38831615120274915</v>
      </c>
      <c r="E430" s="522">
        <f>C430/(totalw-q15cnw)</f>
        <v>0.39168110918544197</v>
      </c>
      <c r="F430" s="495">
        <v>14</v>
      </c>
      <c r="G430" s="496">
        <f t="shared" si="51"/>
        <v>0.34146341463414637</v>
      </c>
      <c r="H430" s="522">
        <f>F430/(totalb-q15cnb)</f>
        <v>0.34146341463414637</v>
      </c>
      <c r="I430" s="495">
        <v>7</v>
      </c>
      <c r="J430" s="496">
        <f t="shared" si="52"/>
        <v>0.3181818181818182</v>
      </c>
      <c r="K430" s="522">
        <f>I430/(totalo-q15cno)</f>
        <v>0.3333333333333333</v>
      </c>
    </row>
    <row r="431" spans="1:11" ht="10.5" customHeight="1">
      <c r="A431" s="482"/>
      <c r="B431" s="467" t="s">
        <v>347</v>
      </c>
      <c r="C431" s="495">
        <v>158</v>
      </c>
      <c r="D431" s="496">
        <f t="shared" si="50"/>
        <v>0.27147766323024053</v>
      </c>
      <c r="E431" s="522">
        <f>C431/(totalw-q15cnw)</f>
        <v>0.2738301559792028</v>
      </c>
      <c r="F431" s="495">
        <v>8</v>
      </c>
      <c r="G431" s="496">
        <f t="shared" si="51"/>
        <v>0.1951219512195122</v>
      </c>
      <c r="H431" s="522">
        <f>F431/(totalb-q15cnb)</f>
        <v>0.1951219512195122</v>
      </c>
      <c r="I431" s="495">
        <v>5</v>
      </c>
      <c r="J431" s="496">
        <f t="shared" si="52"/>
        <v>0.22727272727272727</v>
      </c>
      <c r="K431" s="522">
        <f>I431/(totalo-q15cno)</f>
        <v>0.23809523809523808</v>
      </c>
    </row>
    <row r="432" spans="1:11" ht="10.5" customHeight="1">
      <c r="A432" s="482"/>
      <c r="B432" s="467" t="s">
        <v>348</v>
      </c>
      <c r="C432" s="495">
        <v>43</v>
      </c>
      <c r="D432" s="496">
        <f t="shared" si="50"/>
        <v>0.07388316151202749</v>
      </c>
      <c r="E432" s="522">
        <f>C432/(totalw-q15cnw)</f>
        <v>0.07452339688041594</v>
      </c>
      <c r="F432" s="495">
        <v>5</v>
      </c>
      <c r="G432" s="496">
        <f t="shared" si="51"/>
        <v>0.12195121951219512</v>
      </c>
      <c r="H432" s="522">
        <f>F432/(totalb-q15cnb)</f>
        <v>0.12195121951219512</v>
      </c>
      <c r="I432" s="495">
        <v>2</v>
      </c>
      <c r="J432" s="496">
        <f t="shared" si="52"/>
        <v>0.09090909090909091</v>
      </c>
      <c r="K432" s="522">
        <f>I432/(totalo-q15cno)</f>
        <v>0.09523809523809523</v>
      </c>
    </row>
    <row r="433" spans="1:11" ht="10.5" customHeight="1">
      <c r="A433" s="482"/>
      <c r="B433" s="467" t="s">
        <v>349</v>
      </c>
      <c r="C433" s="495">
        <v>18</v>
      </c>
      <c r="D433" s="496">
        <f t="shared" si="50"/>
        <v>0.030927835051546393</v>
      </c>
      <c r="E433" s="522">
        <f>C433/(totalw-q15cnw)</f>
        <v>0.03119584055459272</v>
      </c>
      <c r="F433" s="495">
        <v>1</v>
      </c>
      <c r="G433" s="496">
        <f t="shared" si="51"/>
        <v>0.024390243902439025</v>
      </c>
      <c r="H433" s="522">
        <f>F433/(totalb-q15cnb)</f>
        <v>0.024390243902439025</v>
      </c>
      <c r="I433" s="495">
        <v>0</v>
      </c>
      <c r="J433" s="496">
        <f t="shared" si="52"/>
        <v>0</v>
      </c>
      <c r="K433" s="522">
        <f>I433/(totalo-q15cno)</f>
        <v>0</v>
      </c>
    </row>
    <row r="434" spans="1:11" ht="10.5" customHeight="1">
      <c r="A434" s="499"/>
      <c r="B434" s="500" t="s">
        <v>18</v>
      </c>
      <c r="C434" s="501">
        <v>5</v>
      </c>
      <c r="D434" s="502">
        <f t="shared" si="50"/>
        <v>0.00859106529209622</v>
      </c>
      <c r="E434" s="507" t="s">
        <v>19</v>
      </c>
      <c r="F434" s="501">
        <v>0</v>
      </c>
      <c r="G434" s="502">
        <f t="shared" si="51"/>
        <v>0</v>
      </c>
      <c r="H434" s="507" t="s">
        <v>19</v>
      </c>
      <c r="I434" s="501">
        <v>1</v>
      </c>
      <c r="J434" s="502">
        <f t="shared" si="52"/>
        <v>0.045454545454545456</v>
      </c>
      <c r="K434" s="507" t="s">
        <v>19</v>
      </c>
    </row>
    <row r="435" spans="1:11" ht="10.5" customHeight="1">
      <c r="A435" s="485" t="s">
        <v>415</v>
      </c>
      <c r="B435" s="470"/>
      <c r="C435" s="470"/>
      <c r="D435" s="550"/>
      <c r="E435" s="550"/>
      <c r="F435" s="470"/>
      <c r="G435" s="550"/>
      <c r="H435" s="550"/>
      <c r="I435" s="470"/>
      <c r="J435" s="550"/>
      <c r="K435" s="551"/>
    </row>
    <row r="436" spans="1:11" ht="12.75">
      <c r="A436" s="458" t="s">
        <v>337</v>
      </c>
      <c r="B436" s="459"/>
      <c r="C436" s="460"/>
      <c r="D436" s="460"/>
      <c r="E436" s="460"/>
      <c r="F436" s="461"/>
      <c r="G436" s="461"/>
      <c r="H436" s="461"/>
      <c r="I436" s="461"/>
      <c r="J436" s="461"/>
      <c r="K436" s="462" t="s">
        <v>416</v>
      </c>
    </row>
    <row r="437" spans="1:11" ht="12.75">
      <c r="A437" s="464" t="s">
        <v>313</v>
      </c>
      <c r="B437" s="465"/>
      <c r="C437" s="466"/>
      <c r="D437" s="466"/>
      <c r="E437" s="466"/>
      <c r="F437" s="467"/>
      <c r="G437" s="467"/>
      <c r="H437" s="467"/>
      <c r="I437" s="467"/>
      <c r="J437" s="467"/>
      <c r="K437" s="468"/>
    </row>
    <row r="438" spans="1:11" ht="12.75">
      <c r="A438" s="6" t="s">
        <v>339</v>
      </c>
      <c r="B438" s="465"/>
      <c r="C438" s="466"/>
      <c r="D438" s="466"/>
      <c r="E438" s="466"/>
      <c r="F438" s="467"/>
      <c r="G438" s="467"/>
      <c r="H438" s="467"/>
      <c r="I438" s="467"/>
      <c r="J438" s="467"/>
      <c r="K438" s="468"/>
    </row>
    <row r="439" spans="1:15" ht="12.75">
      <c r="A439" s="469" t="s">
        <v>340</v>
      </c>
      <c r="B439" s="470"/>
      <c r="C439" s="470"/>
      <c r="D439" s="470"/>
      <c r="E439" s="470"/>
      <c r="F439" s="470"/>
      <c r="G439" s="470"/>
      <c r="H439" s="471"/>
      <c r="I439" s="471"/>
      <c r="J439" s="471"/>
      <c r="K439" s="472"/>
      <c r="L439" s="473"/>
      <c r="M439" s="474"/>
      <c r="N439" s="473"/>
      <c r="O439" s="473"/>
    </row>
    <row r="440" spans="1:11" ht="17.25" customHeight="1">
      <c r="A440" s="478"/>
      <c r="B440" s="476"/>
      <c r="C440" s="525" t="s">
        <v>185</v>
      </c>
      <c r="D440" s="526"/>
      <c r="E440" s="541"/>
      <c r="F440" s="525" t="s">
        <v>186</v>
      </c>
      <c r="G440" s="526"/>
      <c r="H440" s="541"/>
      <c r="I440" s="525" t="s">
        <v>187</v>
      </c>
      <c r="J440" s="526"/>
      <c r="K440" s="541"/>
    </row>
    <row r="441" spans="1:12" ht="11.25">
      <c r="A441" s="482"/>
      <c r="B441" s="468"/>
      <c r="C441" s="497"/>
      <c r="D441" s="530" t="s">
        <v>5</v>
      </c>
      <c r="E441" s="542" t="s">
        <v>5</v>
      </c>
      <c r="F441" s="497"/>
      <c r="G441" s="530" t="s">
        <v>5</v>
      </c>
      <c r="H441" s="542" t="s">
        <v>5</v>
      </c>
      <c r="I441" s="497"/>
      <c r="J441" s="530" t="s">
        <v>5</v>
      </c>
      <c r="K441" s="542" t="s">
        <v>5</v>
      </c>
      <c r="L441" s="546"/>
    </row>
    <row r="442" spans="1:12" ht="11.25" customHeight="1">
      <c r="A442" s="480"/>
      <c r="B442" s="481" t="s">
        <v>417</v>
      </c>
      <c r="C442" s="497"/>
      <c r="D442" s="530" t="s">
        <v>7</v>
      </c>
      <c r="E442" s="542" t="s">
        <v>8</v>
      </c>
      <c r="F442" s="497"/>
      <c r="G442" s="530" t="s">
        <v>7</v>
      </c>
      <c r="H442" s="542" t="s">
        <v>8</v>
      </c>
      <c r="I442" s="497"/>
      <c r="J442" s="530" t="s">
        <v>7</v>
      </c>
      <c r="K442" s="542" t="s">
        <v>8</v>
      </c>
      <c r="L442" s="546"/>
    </row>
    <row r="443" spans="1:12" ht="11.25">
      <c r="A443" s="485"/>
      <c r="B443" s="486"/>
      <c r="C443" s="531" t="s">
        <v>9</v>
      </c>
      <c r="D443" s="532" t="s">
        <v>10</v>
      </c>
      <c r="E443" s="543" t="s">
        <v>10</v>
      </c>
      <c r="F443" s="531" t="s">
        <v>9</v>
      </c>
      <c r="G443" s="532" t="s">
        <v>10</v>
      </c>
      <c r="H443" s="543" t="s">
        <v>10</v>
      </c>
      <c r="I443" s="531" t="s">
        <v>9</v>
      </c>
      <c r="J443" s="532" t="s">
        <v>10</v>
      </c>
      <c r="K443" s="543" t="s">
        <v>10</v>
      </c>
      <c r="L443" s="547"/>
    </row>
    <row r="444" spans="1:11" ht="11.25">
      <c r="A444" s="504" t="s">
        <v>355</v>
      </c>
      <c r="B444" s="467" t="s">
        <v>356</v>
      </c>
      <c r="C444" s="482"/>
      <c r="D444" s="505"/>
      <c r="E444" s="537"/>
      <c r="F444" s="482"/>
      <c r="G444" s="505"/>
      <c r="H444" s="537"/>
      <c r="I444" s="482"/>
      <c r="J444" s="465"/>
      <c r="K444" s="468"/>
    </row>
    <row r="445" spans="1:11" ht="11.25">
      <c r="A445" s="482"/>
      <c r="B445" s="467" t="s">
        <v>345</v>
      </c>
      <c r="C445" s="495">
        <v>37</v>
      </c>
      <c r="D445" s="496">
        <f aca="true" t="shared" si="53" ref="D445:D450">C445/totalw</f>
        <v>0.06357388316151202</v>
      </c>
      <c r="E445" s="522">
        <f>C445/(totalw-q15dnw)</f>
        <v>0.0642361111111111</v>
      </c>
      <c r="F445" s="495">
        <v>4</v>
      </c>
      <c r="G445" s="496">
        <f aca="true" t="shared" si="54" ref="G445:G450">F445/totalb</f>
        <v>0.0975609756097561</v>
      </c>
      <c r="H445" s="522">
        <f>F445/(totalb-q15dnb)</f>
        <v>0.0975609756097561</v>
      </c>
      <c r="I445" s="495">
        <v>2</v>
      </c>
      <c r="J445" s="496">
        <f aca="true" t="shared" si="55" ref="J445:J450">I445/totalo</f>
        <v>0.09090909090909091</v>
      </c>
      <c r="K445" s="522">
        <f>I445/(totalo-q15dno)</f>
        <v>0.09523809523809523</v>
      </c>
    </row>
    <row r="446" spans="1:11" ht="11.25">
      <c r="A446" s="482"/>
      <c r="B446" s="467" t="s">
        <v>346</v>
      </c>
      <c r="C446" s="495">
        <v>100</v>
      </c>
      <c r="D446" s="496">
        <f t="shared" si="53"/>
        <v>0.1718213058419244</v>
      </c>
      <c r="E446" s="522">
        <f>C446/(totalw-q15dnw)</f>
        <v>0.1736111111111111</v>
      </c>
      <c r="F446" s="495">
        <v>16</v>
      </c>
      <c r="G446" s="496">
        <f t="shared" si="54"/>
        <v>0.3902439024390244</v>
      </c>
      <c r="H446" s="522">
        <f>F446/(totalb-q15dnb)</f>
        <v>0.3902439024390244</v>
      </c>
      <c r="I446" s="495">
        <v>9</v>
      </c>
      <c r="J446" s="496">
        <f t="shared" si="55"/>
        <v>0.4090909090909091</v>
      </c>
      <c r="K446" s="522">
        <f>I446/(totalo-q15dno)</f>
        <v>0.42857142857142855</v>
      </c>
    </row>
    <row r="447" spans="1:11" ht="11.25">
      <c r="A447" s="482"/>
      <c r="B447" s="467" t="s">
        <v>347</v>
      </c>
      <c r="C447" s="495">
        <v>227</v>
      </c>
      <c r="D447" s="496">
        <f t="shared" si="53"/>
        <v>0.3900343642611684</v>
      </c>
      <c r="E447" s="522">
        <f>C447/(totalw-q15dnw)</f>
        <v>0.3940972222222222</v>
      </c>
      <c r="F447" s="495">
        <v>8</v>
      </c>
      <c r="G447" s="496">
        <f t="shared" si="54"/>
        <v>0.1951219512195122</v>
      </c>
      <c r="H447" s="522">
        <f>F447/(totalb-q15dnb)</f>
        <v>0.1951219512195122</v>
      </c>
      <c r="I447" s="495">
        <v>6</v>
      </c>
      <c r="J447" s="496">
        <f t="shared" si="55"/>
        <v>0.2727272727272727</v>
      </c>
      <c r="K447" s="522">
        <f>I447/(totalo-q15dno)</f>
        <v>0.2857142857142857</v>
      </c>
    </row>
    <row r="448" spans="1:11" ht="11.25">
      <c r="A448" s="482"/>
      <c r="B448" s="467" t="s">
        <v>348</v>
      </c>
      <c r="C448" s="495">
        <v>130</v>
      </c>
      <c r="D448" s="496">
        <f t="shared" si="53"/>
        <v>0.22336769759450173</v>
      </c>
      <c r="E448" s="522">
        <f>C448/(totalw-q15dnw)</f>
        <v>0.22569444444444445</v>
      </c>
      <c r="F448" s="495">
        <v>8</v>
      </c>
      <c r="G448" s="496">
        <f t="shared" si="54"/>
        <v>0.1951219512195122</v>
      </c>
      <c r="H448" s="522">
        <f>F448/(totalb-q15dnb)</f>
        <v>0.1951219512195122</v>
      </c>
      <c r="I448" s="495">
        <v>2</v>
      </c>
      <c r="J448" s="496">
        <f t="shared" si="55"/>
        <v>0.09090909090909091</v>
      </c>
      <c r="K448" s="522">
        <f>I448/(totalo-q15dno)</f>
        <v>0.09523809523809523</v>
      </c>
    </row>
    <row r="449" spans="1:11" ht="11.25">
      <c r="A449" s="482"/>
      <c r="B449" s="467" t="s">
        <v>349</v>
      </c>
      <c r="C449" s="495">
        <v>82</v>
      </c>
      <c r="D449" s="496">
        <f t="shared" si="53"/>
        <v>0.140893470790378</v>
      </c>
      <c r="E449" s="522">
        <f>C449/(totalw-q15dnw)</f>
        <v>0.1423611111111111</v>
      </c>
      <c r="F449" s="495">
        <v>5</v>
      </c>
      <c r="G449" s="496">
        <f t="shared" si="54"/>
        <v>0.12195121951219512</v>
      </c>
      <c r="H449" s="522">
        <f>F449/(totalb-q15dnb)</f>
        <v>0.12195121951219512</v>
      </c>
      <c r="I449" s="495">
        <v>2</v>
      </c>
      <c r="J449" s="496">
        <f t="shared" si="55"/>
        <v>0.09090909090909091</v>
      </c>
      <c r="K449" s="522">
        <f>I449/(totalo-q15dno)</f>
        <v>0.09523809523809523</v>
      </c>
    </row>
    <row r="450" spans="1:11" ht="11.25">
      <c r="A450" s="499"/>
      <c r="B450" s="500" t="s">
        <v>18</v>
      </c>
      <c r="C450" s="501">
        <v>6</v>
      </c>
      <c r="D450" s="502">
        <f t="shared" si="53"/>
        <v>0.010309278350515464</v>
      </c>
      <c r="E450" s="507" t="s">
        <v>19</v>
      </c>
      <c r="F450" s="501">
        <v>0</v>
      </c>
      <c r="G450" s="502">
        <f t="shared" si="54"/>
        <v>0</v>
      </c>
      <c r="H450" s="507" t="s">
        <v>19</v>
      </c>
      <c r="I450" s="501">
        <v>1</v>
      </c>
      <c r="J450" s="502">
        <f t="shared" si="55"/>
        <v>0.045454545454545456</v>
      </c>
      <c r="K450" s="507" t="s">
        <v>19</v>
      </c>
    </row>
    <row r="451" spans="1:11" ht="11.25">
      <c r="A451" s="504" t="s">
        <v>357</v>
      </c>
      <c r="B451" s="467" t="s">
        <v>358</v>
      </c>
      <c r="C451" s="482"/>
      <c r="D451" s="505"/>
      <c r="E451" s="537"/>
      <c r="F451" s="482"/>
      <c r="G451" s="505"/>
      <c r="H451" s="537"/>
      <c r="I451" s="482"/>
      <c r="J451" s="505"/>
      <c r="K451" s="537"/>
    </row>
    <row r="452" spans="1:11" ht="11.25">
      <c r="A452" s="482"/>
      <c r="B452" s="467" t="s">
        <v>345</v>
      </c>
      <c r="C452" s="495">
        <v>58</v>
      </c>
      <c r="D452" s="496">
        <f aca="true" t="shared" si="56" ref="D452:D457">C452/totalw</f>
        <v>0.09965635738831616</v>
      </c>
      <c r="E452" s="522">
        <f>C452/(totalw-q15enw)</f>
        <v>0.10086956521739131</v>
      </c>
      <c r="F452" s="495">
        <v>6</v>
      </c>
      <c r="G452" s="496">
        <f aca="true" t="shared" si="57" ref="G452:G457">F452/totalb</f>
        <v>0.14634146341463414</v>
      </c>
      <c r="H452" s="522">
        <f>F452/(totalb-q15enb)</f>
        <v>0.14634146341463414</v>
      </c>
      <c r="I452" s="495">
        <v>3</v>
      </c>
      <c r="J452" s="496">
        <f aca="true" t="shared" si="58" ref="J452:J457">I452/totalo</f>
        <v>0.13636363636363635</v>
      </c>
      <c r="K452" s="522">
        <f>I452/(totalo-q15eno)</f>
        <v>0.14285714285714285</v>
      </c>
    </row>
    <row r="453" spans="1:11" ht="11.25">
      <c r="A453" s="482"/>
      <c r="B453" s="467" t="s">
        <v>346</v>
      </c>
      <c r="C453" s="495">
        <v>179</v>
      </c>
      <c r="D453" s="496">
        <f t="shared" si="56"/>
        <v>0.3075601374570447</v>
      </c>
      <c r="E453" s="522">
        <f>C453/(totalw-q15enw)</f>
        <v>0.31130434782608696</v>
      </c>
      <c r="F453" s="495">
        <v>15</v>
      </c>
      <c r="G453" s="496">
        <f t="shared" si="57"/>
        <v>0.36585365853658536</v>
      </c>
      <c r="H453" s="522">
        <f>F453/(totalb-q15enb)</f>
        <v>0.36585365853658536</v>
      </c>
      <c r="I453" s="495">
        <v>7</v>
      </c>
      <c r="J453" s="496">
        <f t="shared" si="58"/>
        <v>0.3181818181818182</v>
      </c>
      <c r="K453" s="522">
        <f>I453/(totalo-q15eno)</f>
        <v>0.3333333333333333</v>
      </c>
    </row>
    <row r="454" spans="1:11" ht="11.25">
      <c r="A454" s="482"/>
      <c r="B454" s="467" t="s">
        <v>347</v>
      </c>
      <c r="C454" s="495">
        <v>202</v>
      </c>
      <c r="D454" s="496">
        <f t="shared" si="56"/>
        <v>0.3470790378006873</v>
      </c>
      <c r="E454" s="522">
        <f>C454/(totalw-q15enw)</f>
        <v>0.35130434782608694</v>
      </c>
      <c r="F454" s="495">
        <v>8</v>
      </c>
      <c r="G454" s="496">
        <f t="shared" si="57"/>
        <v>0.1951219512195122</v>
      </c>
      <c r="H454" s="522">
        <f>F454/(totalb-q15enb)</f>
        <v>0.1951219512195122</v>
      </c>
      <c r="I454" s="495">
        <v>7</v>
      </c>
      <c r="J454" s="496">
        <f t="shared" si="58"/>
        <v>0.3181818181818182</v>
      </c>
      <c r="K454" s="522">
        <f>I454/(totalo-q15eno)</f>
        <v>0.3333333333333333</v>
      </c>
    </row>
    <row r="455" spans="1:11" ht="11.25">
      <c r="A455" s="482"/>
      <c r="B455" s="467" t="s">
        <v>348</v>
      </c>
      <c r="C455" s="495">
        <v>87</v>
      </c>
      <c r="D455" s="496">
        <f t="shared" si="56"/>
        <v>0.14948453608247422</v>
      </c>
      <c r="E455" s="522">
        <f>C455/(totalw-q15enw)</f>
        <v>0.15130434782608695</v>
      </c>
      <c r="F455" s="495">
        <v>10</v>
      </c>
      <c r="G455" s="496">
        <f t="shared" si="57"/>
        <v>0.24390243902439024</v>
      </c>
      <c r="H455" s="522">
        <f>F455/(totalb-q15enb)</f>
        <v>0.24390243902439024</v>
      </c>
      <c r="I455" s="495">
        <v>3</v>
      </c>
      <c r="J455" s="496">
        <f t="shared" si="58"/>
        <v>0.13636363636363635</v>
      </c>
      <c r="K455" s="522">
        <f>I455/(totalo-q15eno)</f>
        <v>0.14285714285714285</v>
      </c>
    </row>
    <row r="456" spans="1:11" ht="11.25">
      <c r="A456" s="482"/>
      <c r="B456" s="467" t="s">
        <v>349</v>
      </c>
      <c r="C456" s="495">
        <v>49</v>
      </c>
      <c r="D456" s="496">
        <f t="shared" si="56"/>
        <v>0.08419243986254296</v>
      </c>
      <c r="E456" s="522">
        <f>C456/(totalw-q15enw)</f>
        <v>0.08521739130434783</v>
      </c>
      <c r="F456" s="495">
        <v>2</v>
      </c>
      <c r="G456" s="496">
        <f t="shared" si="57"/>
        <v>0.04878048780487805</v>
      </c>
      <c r="H456" s="522">
        <f>F456/(totalb-q15enb)</f>
        <v>0.04878048780487805</v>
      </c>
      <c r="I456" s="495">
        <v>1</v>
      </c>
      <c r="J456" s="496">
        <f t="shared" si="58"/>
        <v>0.045454545454545456</v>
      </c>
      <c r="K456" s="522">
        <f>I456/(totalo-q15eno)</f>
        <v>0.047619047619047616</v>
      </c>
    </row>
    <row r="457" spans="1:11" ht="11.25">
      <c r="A457" s="499"/>
      <c r="B457" s="500" t="s">
        <v>18</v>
      </c>
      <c r="C457" s="501">
        <v>7</v>
      </c>
      <c r="D457" s="502">
        <f t="shared" si="56"/>
        <v>0.012027491408934709</v>
      </c>
      <c r="E457" s="507" t="s">
        <v>19</v>
      </c>
      <c r="F457" s="501">
        <v>0</v>
      </c>
      <c r="G457" s="502">
        <f t="shared" si="57"/>
        <v>0</v>
      </c>
      <c r="H457" s="507" t="s">
        <v>19</v>
      </c>
      <c r="I457" s="501">
        <v>1</v>
      </c>
      <c r="J457" s="502">
        <f t="shared" si="58"/>
        <v>0.045454545454545456</v>
      </c>
      <c r="K457" s="507" t="s">
        <v>19</v>
      </c>
    </row>
    <row r="458" spans="1:11" ht="11.25">
      <c r="A458" s="504" t="s">
        <v>361</v>
      </c>
      <c r="B458" s="467" t="s">
        <v>362</v>
      </c>
      <c r="C458" s="482"/>
      <c r="D458" s="505"/>
      <c r="E458" s="537"/>
      <c r="F458" s="482"/>
      <c r="G458" s="505"/>
      <c r="H458" s="537"/>
      <c r="I458" s="482"/>
      <c r="J458" s="505"/>
      <c r="K458" s="537"/>
    </row>
    <row r="459" spans="1:11" ht="11.25">
      <c r="A459" s="482"/>
      <c r="B459" s="467" t="s">
        <v>345</v>
      </c>
      <c r="C459" s="495">
        <v>84</v>
      </c>
      <c r="D459" s="496">
        <f aca="true" t="shared" si="59" ref="D459:D464">C459/totalw</f>
        <v>0.14432989690721648</v>
      </c>
      <c r="E459" s="522">
        <f>C459/(totalw-q15fnw)</f>
        <v>0.14558058925476602</v>
      </c>
      <c r="F459" s="495">
        <v>10</v>
      </c>
      <c r="G459" s="496">
        <f aca="true" t="shared" si="60" ref="G459:G464">F459/totalb</f>
        <v>0.24390243902439024</v>
      </c>
      <c r="H459" s="522">
        <f>F459/(totalb-q15fnb)</f>
        <v>0.24390243902439024</v>
      </c>
      <c r="I459" s="495">
        <v>2</v>
      </c>
      <c r="J459" s="496">
        <f aca="true" t="shared" si="61" ref="J459:J464">I459/totalo</f>
        <v>0.09090909090909091</v>
      </c>
      <c r="K459" s="522">
        <f>I459/(totalo-q15fno)</f>
        <v>0.09523809523809523</v>
      </c>
    </row>
    <row r="460" spans="1:11" ht="11.25">
      <c r="A460" s="482"/>
      <c r="B460" s="467" t="s">
        <v>346</v>
      </c>
      <c r="C460" s="495">
        <v>279</v>
      </c>
      <c r="D460" s="496">
        <f t="shared" si="59"/>
        <v>0.4793814432989691</v>
      </c>
      <c r="E460" s="522">
        <f>C460/(totalw-q15fnw)</f>
        <v>0.48353552859618715</v>
      </c>
      <c r="F460" s="495">
        <v>16</v>
      </c>
      <c r="G460" s="496">
        <f t="shared" si="60"/>
        <v>0.3902439024390244</v>
      </c>
      <c r="H460" s="522">
        <f>F460/(totalb-q15fnb)</f>
        <v>0.3902439024390244</v>
      </c>
      <c r="I460" s="495">
        <v>11</v>
      </c>
      <c r="J460" s="496">
        <f t="shared" si="61"/>
        <v>0.5</v>
      </c>
      <c r="K460" s="522">
        <f>I460/(totalo-q15fno)</f>
        <v>0.5238095238095238</v>
      </c>
    </row>
    <row r="461" spans="1:11" ht="11.25">
      <c r="A461" s="482"/>
      <c r="B461" s="467" t="s">
        <v>347</v>
      </c>
      <c r="C461" s="495">
        <v>165</v>
      </c>
      <c r="D461" s="496">
        <f t="shared" si="59"/>
        <v>0.28350515463917525</v>
      </c>
      <c r="E461" s="522">
        <f>C461/(totalw-q15fnw)</f>
        <v>0.28596187175043325</v>
      </c>
      <c r="F461" s="495">
        <v>10</v>
      </c>
      <c r="G461" s="496">
        <f t="shared" si="60"/>
        <v>0.24390243902439024</v>
      </c>
      <c r="H461" s="522">
        <f>F461/(totalb-q15fnb)</f>
        <v>0.24390243902439024</v>
      </c>
      <c r="I461" s="495">
        <v>8</v>
      </c>
      <c r="J461" s="496">
        <f t="shared" si="61"/>
        <v>0.36363636363636365</v>
      </c>
      <c r="K461" s="522">
        <f>I461/(totalo-q15fno)</f>
        <v>0.38095238095238093</v>
      </c>
    </row>
    <row r="462" spans="1:11" ht="11.25">
      <c r="A462" s="482"/>
      <c r="B462" s="467" t="s">
        <v>348</v>
      </c>
      <c r="C462" s="495">
        <v>37</v>
      </c>
      <c r="D462" s="496">
        <f t="shared" si="59"/>
        <v>0.06357388316151202</v>
      </c>
      <c r="E462" s="522">
        <f>C462/(totalw-q15fnw)</f>
        <v>0.06412478336221837</v>
      </c>
      <c r="F462" s="495">
        <v>4</v>
      </c>
      <c r="G462" s="496">
        <f t="shared" si="60"/>
        <v>0.0975609756097561</v>
      </c>
      <c r="H462" s="522">
        <f>F462/(totalb-q15fnb)</f>
        <v>0.0975609756097561</v>
      </c>
      <c r="I462" s="495">
        <v>0</v>
      </c>
      <c r="J462" s="496">
        <f t="shared" si="61"/>
        <v>0</v>
      </c>
      <c r="K462" s="522">
        <f>I462/(totalo-q15fno)</f>
        <v>0</v>
      </c>
    </row>
    <row r="463" spans="1:11" ht="11.25">
      <c r="A463" s="482"/>
      <c r="B463" s="467" t="s">
        <v>349</v>
      </c>
      <c r="C463" s="495">
        <v>12</v>
      </c>
      <c r="D463" s="496">
        <f t="shared" si="59"/>
        <v>0.020618556701030927</v>
      </c>
      <c r="E463" s="522">
        <f>C463/(totalw-q15fnw)</f>
        <v>0.02079722703639515</v>
      </c>
      <c r="F463" s="495">
        <v>1</v>
      </c>
      <c r="G463" s="496">
        <f t="shared" si="60"/>
        <v>0.024390243902439025</v>
      </c>
      <c r="H463" s="522">
        <f>F463/(totalb-q15fnb)</f>
        <v>0.024390243902439025</v>
      </c>
      <c r="I463" s="495">
        <v>0</v>
      </c>
      <c r="J463" s="496">
        <f t="shared" si="61"/>
        <v>0</v>
      </c>
      <c r="K463" s="522">
        <f>I463/(totalo-q15fno)</f>
        <v>0</v>
      </c>
    </row>
    <row r="464" spans="1:11" ht="11.25">
      <c r="A464" s="499"/>
      <c r="B464" s="500" t="s">
        <v>18</v>
      </c>
      <c r="C464" s="501">
        <v>5</v>
      </c>
      <c r="D464" s="502">
        <f t="shared" si="59"/>
        <v>0.00859106529209622</v>
      </c>
      <c r="E464" s="507" t="s">
        <v>19</v>
      </c>
      <c r="F464" s="501">
        <v>0</v>
      </c>
      <c r="G464" s="502">
        <f t="shared" si="60"/>
        <v>0</v>
      </c>
      <c r="H464" s="507" t="s">
        <v>19</v>
      </c>
      <c r="I464" s="501">
        <v>1</v>
      </c>
      <c r="J464" s="502">
        <f t="shared" si="61"/>
        <v>0.045454545454545456</v>
      </c>
      <c r="K464" s="507" t="s">
        <v>19</v>
      </c>
    </row>
    <row r="465" spans="1:11" ht="11.25">
      <c r="A465" s="504" t="s">
        <v>363</v>
      </c>
      <c r="B465" s="467" t="s">
        <v>364</v>
      </c>
      <c r="C465" s="482"/>
      <c r="D465" s="505"/>
      <c r="E465" s="537"/>
      <c r="F465" s="482"/>
      <c r="G465" s="505"/>
      <c r="H465" s="537"/>
      <c r="I465" s="482"/>
      <c r="J465" s="505"/>
      <c r="K465" s="537"/>
    </row>
    <row r="466" spans="1:11" ht="11.25">
      <c r="A466" s="482"/>
      <c r="B466" s="467" t="s">
        <v>345</v>
      </c>
      <c r="C466" s="495">
        <v>100</v>
      </c>
      <c r="D466" s="496">
        <f aca="true" t="shared" si="62" ref="D466:D471">C466/totalw</f>
        <v>0.1718213058419244</v>
      </c>
      <c r="E466" s="522">
        <f>C466/(totalw-q15gnw)</f>
        <v>0.17391304347826086</v>
      </c>
      <c r="F466" s="495">
        <v>10</v>
      </c>
      <c r="G466" s="496">
        <f aca="true" t="shared" si="63" ref="G466:G471">F466/totalb</f>
        <v>0.24390243902439024</v>
      </c>
      <c r="H466" s="522">
        <f>F466/(totalb-q15gnb)</f>
        <v>0.24390243902439024</v>
      </c>
      <c r="I466" s="495">
        <v>3</v>
      </c>
      <c r="J466" s="496">
        <f aca="true" t="shared" si="64" ref="J466:J471">I466/totalo</f>
        <v>0.13636363636363635</v>
      </c>
      <c r="K466" s="522">
        <f>I466/(totalo-q15gno)</f>
        <v>0.14285714285714285</v>
      </c>
    </row>
    <row r="467" spans="1:11" ht="11.25">
      <c r="A467" s="482"/>
      <c r="B467" s="467" t="s">
        <v>346</v>
      </c>
      <c r="C467" s="495">
        <v>286</v>
      </c>
      <c r="D467" s="496">
        <f t="shared" si="62"/>
        <v>0.49140893470790376</v>
      </c>
      <c r="E467" s="522">
        <f>C467/(totalw-q15gnw)</f>
        <v>0.4973913043478261</v>
      </c>
      <c r="F467" s="495">
        <v>18</v>
      </c>
      <c r="G467" s="496">
        <f t="shared" si="63"/>
        <v>0.43902439024390244</v>
      </c>
      <c r="H467" s="522">
        <f>F467/(totalb-q15gnb)</f>
        <v>0.43902439024390244</v>
      </c>
      <c r="I467" s="495">
        <v>10</v>
      </c>
      <c r="J467" s="496">
        <f t="shared" si="64"/>
        <v>0.45454545454545453</v>
      </c>
      <c r="K467" s="522">
        <f>I467/(totalo-q15gno)</f>
        <v>0.47619047619047616</v>
      </c>
    </row>
    <row r="468" spans="1:11" ht="11.25">
      <c r="A468" s="482"/>
      <c r="B468" s="467" t="s">
        <v>347</v>
      </c>
      <c r="C468" s="495">
        <v>147</v>
      </c>
      <c r="D468" s="496">
        <f t="shared" si="62"/>
        <v>0.25257731958762886</v>
      </c>
      <c r="E468" s="522">
        <f>C468/(totalw-q15gnw)</f>
        <v>0.25565217391304346</v>
      </c>
      <c r="F468" s="495">
        <v>9</v>
      </c>
      <c r="G468" s="496">
        <f t="shared" si="63"/>
        <v>0.21951219512195122</v>
      </c>
      <c r="H468" s="522">
        <f>F468/(totalb-q15gnb)</f>
        <v>0.21951219512195122</v>
      </c>
      <c r="I468" s="495">
        <v>7</v>
      </c>
      <c r="J468" s="496">
        <f t="shared" si="64"/>
        <v>0.3181818181818182</v>
      </c>
      <c r="K468" s="522">
        <f>I468/(totalo-q15gno)</f>
        <v>0.3333333333333333</v>
      </c>
    </row>
    <row r="469" spans="1:11" ht="11.25">
      <c r="A469" s="482"/>
      <c r="B469" s="467" t="s">
        <v>348</v>
      </c>
      <c r="C469" s="495">
        <v>33</v>
      </c>
      <c r="D469" s="496">
        <f t="shared" si="62"/>
        <v>0.05670103092783505</v>
      </c>
      <c r="E469" s="522">
        <f>C469/(totalw-q15gnw)</f>
        <v>0.057391304347826085</v>
      </c>
      <c r="F469" s="495">
        <v>2</v>
      </c>
      <c r="G469" s="496">
        <f t="shared" si="63"/>
        <v>0.04878048780487805</v>
      </c>
      <c r="H469" s="522">
        <f>F469/(totalb-q15gnb)</f>
        <v>0.04878048780487805</v>
      </c>
      <c r="I469" s="495">
        <v>1</v>
      </c>
      <c r="J469" s="496">
        <f t="shared" si="64"/>
        <v>0.045454545454545456</v>
      </c>
      <c r="K469" s="522">
        <f>I469/(totalo-q15gno)</f>
        <v>0.047619047619047616</v>
      </c>
    </row>
    <row r="470" spans="1:11" ht="11.25">
      <c r="A470" s="482"/>
      <c r="B470" s="467" t="s">
        <v>349</v>
      </c>
      <c r="C470" s="495">
        <v>9</v>
      </c>
      <c r="D470" s="496">
        <f t="shared" si="62"/>
        <v>0.015463917525773196</v>
      </c>
      <c r="E470" s="522">
        <f>C470/(totalw-q15gnw)</f>
        <v>0.01565217391304348</v>
      </c>
      <c r="F470" s="495">
        <v>2</v>
      </c>
      <c r="G470" s="496">
        <f t="shared" si="63"/>
        <v>0.04878048780487805</v>
      </c>
      <c r="H470" s="522">
        <f>F470/(totalb-q15gnb)</f>
        <v>0.04878048780487805</v>
      </c>
      <c r="I470" s="495">
        <v>0</v>
      </c>
      <c r="J470" s="496">
        <f t="shared" si="64"/>
        <v>0</v>
      </c>
      <c r="K470" s="522">
        <f>I470/(totalo-q15gno)</f>
        <v>0</v>
      </c>
    </row>
    <row r="471" spans="1:11" ht="11.25">
      <c r="A471" s="499"/>
      <c r="B471" s="500" t="s">
        <v>18</v>
      </c>
      <c r="C471" s="501">
        <v>7</v>
      </c>
      <c r="D471" s="502">
        <f t="shared" si="62"/>
        <v>0.012027491408934709</v>
      </c>
      <c r="E471" s="507" t="s">
        <v>19</v>
      </c>
      <c r="F471" s="501">
        <v>0</v>
      </c>
      <c r="G471" s="502">
        <f t="shared" si="63"/>
        <v>0</v>
      </c>
      <c r="H471" s="507" t="s">
        <v>19</v>
      </c>
      <c r="I471" s="501">
        <v>1</v>
      </c>
      <c r="J471" s="502">
        <f t="shared" si="64"/>
        <v>0.045454545454545456</v>
      </c>
      <c r="K471" s="507" t="s">
        <v>19</v>
      </c>
    </row>
    <row r="472" spans="1:11" ht="11.25">
      <c r="A472" s="504" t="s">
        <v>365</v>
      </c>
      <c r="B472" s="467" t="s">
        <v>366</v>
      </c>
      <c r="C472" s="482"/>
      <c r="D472" s="505"/>
      <c r="E472" s="537"/>
      <c r="F472" s="482"/>
      <c r="G472" s="505"/>
      <c r="H472" s="537"/>
      <c r="I472" s="482"/>
      <c r="J472" s="505"/>
      <c r="K472" s="537"/>
    </row>
    <row r="473" spans="1:11" ht="11.25">
      <c r="A473" s="482"/>
      <c r="B473" s="467" t="s">
        <v>345</v>
      </c>
      <c r="C473" s="495">
        <v>103</v>
      </c>
      <c r="D473" s="496">
        <f aca="true" t="shared" si="65" ref="D473:D478">C473/totalw</f>
        <v>0.17697594501718214</v>
      </c>
      <c r="E473" s="522">
        <f>C473/(totalw-q15hnw)</f>
        <v>0.17728055077452667</v>
      </c>
      <c r="F473" s="495">
        <v>11</v>
      </c>
      <c r="G473" s="496">
        <f aca="true" t="shared" si="66" ref="G473:G478">F473/totalb</f>
        <v>0.2682926829268293</v>
      </c>
      <c r="H473" s="522">
        <f>F473/(totalb-q15hnb)</f>
        <v>0.2682926829268293</v>
      </c>
      <c r="I473" s="495">
        <v>2</v>
      </c>
      <c r="J473" s="496">
        <f aca="true" t="shared" si="67" ref="J473:J478">I473/totalo</f>
        <v>0.09090909090909091</v>
      </c>
      <c r="K473" s="522">
        <f>I473/(totalo-q15hno)</f>
        <v>0.09523809523809523</v>
      </c>
    </row>
    <row r="474" spans="1:11" ht="11.25">
      <c r="A474" s="482"/>
      <c r="B474" s="467" t="s">
        <v>346</v>
      </c>
      <c r="C474" s="495">
        <v>239</v>
      </c>
      <c r="D474" s="496">
        <f t="shared" si="65"/>
        <v>0.4106529209621993</v>
      </c>
      <c r="E474" s="522">
        <f>C474/(totalw-q15hnw)</f>
        <v>0.4113597246127367</v>
      </c>
      <c r="F474" s="495">
        <v>26</v>
      </c>
      <c r="G474" s="496">
        <f t="shared" si="66"/>
        <v>0.6341463414634146</v>
      </c>
      <c r="H474" s="522">
        <f>F474/(totalb-q15hnb)</f>
        <v>0.6341463414634146</v>
      </c>
      <c r="I474" s="495">
        <v>11</v>
      </c>
      <c r="J474" s="496">
        <f t="shared" si="67"/>
        <v>0.5</v>
      </c>
      <c r="K474" s="522">
        <f>I474/(totalo-q15hno)</f>
        <v>0.5238095238095238</v>
      </c>
    </row>
    <row r="475" spans="1:11" ht="11.25">
      <c r="A475" s="482"/>
      <c r="B475" s="467" t="s">
        <v>347</v>
      </c>
      <c r="C475" s="495">
        <v>167</v>
      </c>
      <c r="D475" s="496">
        <f t="shared" si="65"/>
        <v>0.2869415807560137</v>
      </c>
      <c r="E475" s="522">
        <f>C475/(totalw-q15hnw)</f>
        <v>0.2874354561101549</v>
      </c>
      <c r="F475" s="495">
        <v>8</v>
      </c>
      <c r="G475" s="496">
        <f t="shared" si="66"/>
        <v>0.1951219512195122</v>
      </c>
      <c r="H475" s="522">
        <f>F475/(totalb-q15hnb)</f>
        <v>0.1951219512195122</v>
      </c>
      <c r="I475" s="495">
        <v>7</v>
      </c>
      <c r="J475" s="496">
        <f t="shared" si="67"/>
        <v>0.3181818181818182</v>
      </c>
      <c r="K475" s="522">
        <f>I475/(totalo-q15hno)</f>
        <v>0.3333333333333333</v>
      </c>
    </row>
    <row r="476" spans="1:11" ht="11.25">
      <c r="A476" s="482"/>
      <c r="B476" s="467" t="s">
        <v>348</v>
      </c>
      <c r="C476" s="495">
        <v>48</v>
      </c>
      <c r="D476" s="496">
        <f t="shared" si="65"/>
        <v>0.08247422680412371</v>
      </c>
      <c r="E476" s="522">
        <f>C476/(totalw-q15hnw)</f>
        <v>0.08261617900172118</v>
      </c>
      <c r="F476" s="495">
        <v>3</v>
      </c>
      <c r="G476" s="496">
        <f t="shared" si="66"/>
        <v>0.07317073170731707</v>
      </c>
      <c r="H476" s="522">
        <f>F476/(totalb-q15hnb)</f>
        <v>0.07317073170731707</v>
      </c>
      <c r="I476" s="495">
        <v>1</v>
      </c>
      <c r="J476" s="496">
        <f t="shared" si="67"/>
        <v>0.045454545454545456</v>
      </c>
      <c r="K476" s="522">
        <f>I476/(totalo-q15hno)</f>
        <v>0.047619047619047616</v>
      </c>
    </row>
    <row r="477" spans="1:11" ht="11.25">
      <c r="A477" s="482"/>
      <c r="B477" s="467" t="s">
        <v>349</v>
      </c>
      <c r="C477" s="495">
        <v>8</v>
      </c>
      <c r="D477" s="496">
        <f t="shared" si="65"/>
        <v>0.013745704467353952</v>
      </c>
      <c r="E477" s="522">
        <f>C477/(totalw-q15hnw)</f>
        <v>0.013769363166953529</v>
      </c>
      <c r="F477" s="495">
        <v>1</v>
      </c>
      <c r="G477" s="496">
        <f t="shared" si="66"/>
        <v>0.024390243902439025</v>
      </c>
      <c r="H477" s="522">
        <f>F477/(totalb-q15hnb)</f>
        <v>0.024390243902439025</v>
      </c>
      <c r="I477" s="495">
        <v>0</v>
      </c>
      <c r="J477" s="496">
        <f t="shared" si="67"/>
        <v>0</v>
      </c>
      <c r="K477" s="522">
        <f>I477/(totalo-q15hno)</f>
        <v>0</v>
      </c>
    </row>
    <row r="478" spans="1:11" ht="11.25">
      <c r="A478" s="499"/>
      <c r="B478" s="500" t="s">
        <v>18</v>
      </c>
      <c r="C478" s="501">
        <v>1</v>
      </c>
      <c r="D478" s="502">
        <f t="shared" si="65"/>
        <v>0.001718213058419244</v>
      </c>
      <c r="E478" s="507" t="s">
        <v>19</v>
      </c>
      <c r="F478" s="501">
        <v>0</v>
      </c>
      <c r="G478" s="502">
        <f t="shared" si="66"/>
        <v>0</v>
      </c>
      <c r="H478" s="507" t="s">
        <v>19</v>
      </c>
      <c r="I478" s="501">
        <v>1</v>
      </c>
      <c r="J478" s="502">
        <f t="shared" si="67"/>
        <v>0.045454545454545456</v>
      </c>
      <c r="K478" s="507" t="s">
        <v>19</v>
      </c>
    </row>
    <row r="479" spans="1:11" ht="11.25">
      <c r="A479" s="485" t="s">
        <v>415</v>
      </c>
      <c r="B479" s="470"/>
      <c r="C479" s="470"/>
      <c r="D479" s="550"/>
      <c r="E479" s="550"/>
      <c r="F479" s="470"/>
      <c r="G479" s="550"/>
      <c r="H479" s="550"/>
      <c r="I479" s="470"/>
      <c r="J479" s="550"/>
      <c r="K479" s="551"/>
    </row>
    <row r="480" spans="1:11" ht="12.75">
      <c r="A480" s="458" t="s">
        <v>337</v>
      </c>
      <c r="B480" s="459"/>
      <c r="C480" s="460"/>
      <c r="D480" s="460"/>
      <c r="E480" s="460"/>
      <c r="F480" s="461"/>
      <c r="G480" s="461"/>
      <c r="H480" s="461"/>
      <c r="I480" s="461"/>
      <c r="J480" s="461"/>
      <c r="K480" s="462" t="s">
        <v>418</v>
      </c>
    </row>
    <row r="481" spans="1:11" ht="12.75">
      <c r="A481" s="464" t="s">
        <v>313</v>
      </c>
      <c r="B481" s="465"/>
      <c r="C481" s="466"/>
      <c r="D481" s="466"/>
      <c r="E481" s="466"/>
      <c r="F481" s="467"/>
      <c r="G481" s="467"/>
      <c r="H481" s="467"/>
      <c r="I481" s="467"/>
      <c r="J481" s="467"/>
      <c r="K481" s="468"/>
    </row>
    <row r="482" spans="1:11" ht="12.75">
      <c r="A482" s="6" t="s">
        <v>339</v>
      </c>
      <c r="B482" s="465"/>
      <c r="C482" s="466"/>
      <c r="D482" s="466"/>
      <c r="E482" s="466"/>
      <c r="F482" s="467"/>
      <c r="G482" s="467"/>
      <c r="H482" s="467"/>
      <c r="I482" s="467"/>
      <c r="J482" s="467"/>
      <c r="K482" s="468"/>
    </row>
    <row r="483" spans="1:15" ht="12.75">
      <c r="A483" s="469" t="s">
        <v>340</v>
      </c>
      <c r="B483" s="470"/>
      <c r="C483" s="470"/>
      <c r="D483" s="470"/>
      <c r="E483" s="470"/>
      <c r="F483" s="470"/>
      <c r="G483" s="470"/>
      <c r="H483" s="471"/>
      <c r="I483" s="471"/>
      <c r="J483" s="471"/>
      <c r="K483" s="472"/>
      <c r="L483" s="473"/>
      <c r="M483" s="474"/>
      <c r="N483" s="473"/>
      <c r="O483" s="473"/>
    </row>
    <row r="484" spans="1:11" ht="17.25" customHeight="1">
      <c r="A484" s="478"/>
      <c r="B484" s="476"/>
      <c r="C484" s="525" t="s">
        <v>185</v>
      </c>
      <c r="D484" s="526"/>
      <c r="E484" s="541"/>
      <c r="F484" s="525" t="s">
        <v>186</v>
      </c>
      <c r="G484" s="526"/>
      <c r="H484" s="541"/>
      <c r="I484" s="525" t="s">
        <v>187</v>
      </c>
      <c r="J484" s="526"/>
      <c r="K484" s="541"/>
    </row>
    <row r="485" spans="1:12" ht="11.25">
      <c r="A485" s="482"/>
      <c r="B485" s="468"/>
      <c r="C485" s="497"/>
      <c r="D485" s="530" t="s">
        <v>5</v>
      </c>
      <c r="E485" s="542" t="s">
        <v>5</v>
      </c>
      <c r="F485" s="497"/>
      <c r="G485" s="530" t="s">
        <v>5</v>
      </c>
      <c r="H485" s="542" t="s">
        <v>5</v>
      </c>
      <c r="I485" s="497"/>
      <c r="J485" s="530" t="s">
        <v>5</v>
      </c>
      <c r="K485" s="542" t="s">
        <v>5</v>
      </c>
      <c r="L485" s="546"/>
    </row>
    <row r="486" spans="1:12" ht="11.25" customHeight="1">
      <c r="A486" s="480"/>
      <c r="B486" s="481" t="s">
        <v>417</v>
      </c>
      <c r="C486" s="497"/>
      <c r="D486" s="530" t="s">
        <v>7</v>
      </c>
      <c r="E486" s="542" t="s">
        <v>8</v>
      </c>
      <c r="F486" s="497"/>
      <c r="G486" s="530" t="s">
        <v>7</v>
      </c>
      <c r="H486" s="542" t="s">
        <v>8</v>
      </c>
      <c r="I486" s="497"/>
      <c r="J486" s="530" t="s">
        <v>7</v>
      </c>
      <c r="K486" s="542" t="s">
        <v>8</v>
      </c>
      <c r="L486" s="546"/>
    </row>
    <row r="487" spans="1:12" ht="11.25">
      <c r="A487" s="485"/>
      <c r="B487" s="486"/>
      <c r="C487" s="531" t="s">
        <v>9</v>
      </c>
      <c r="D487" s="532" t="s">
        <v>10</v>
      </c>
      <c r="E487" s="543" t="s">
        <v>10</v>
      </c>
      <c r="F487" s="531" t="s">
        <v>9</v>
      </c>
      <c r="G487" s="532" t="s">
        <v>10</v>
      </c>
      <c r="H487" s="543" t="s">
        <v>10</v>
      </c>
      <c r="I487" s="531" t="s">
        <v>9</v>
      </c>
      <c r="J487" s="532" t="s">
        <v>10</v>
      </c>
      <c r="K487" s="543" t="s">
        <v>10</v>
      </c>
      <c r="L487" s="547"/>
    </row>
    <row r="488" spans="1:11" ht="11.25">
      <c r="A488" s="504" t="s">
        <v>367</v>
      </c>
      <c r="B488" s="467" t="s">
        <v>368</v>
      </c>
      <c r="C488" s="482"/>
      <c r="D488" s="505"/>
      <c r="E488" s="537"/>
      <c r="F488" s="482"/>
      <c r="G488" s="505"/>
      <c r="H488" s="537"/>
      <c r="I488" s="482"/>
      <c r="J488" s="465"/>
      <c r="K488" s="468"/>
    </row>
    <row r="489" spans="1:11" ht="11.25">
      <c r="A489" s="482"/>
      <c r="B489" s="467" t="s">
        <v>345</v>
      </c>
      <c r="C489" s="495">
        <v>60</v>
      </c>
      <c r="D489" s="496">
        <f aca="true" t="shared" si="68" ref="D489:D494">C489/totalw</f>
        <v>0.10309278350515463</v>
      </c>
      <c r="E489" s="522">
        <f>C489/(totalw-q15inw)</f>
        <v>0.10398613518197573</v>
      </c>
      <c r="F489" s="495">
        <v>8</v>
      </c>
      <c r="G489" s="496">
        <f aca="true" t="shared" si="69" ref="G489:G494">F489/totalb</f>
        <v>0.1951219512195122</v>
      </c>
      <c r="H489" s="522">
        <f>F489/(totalb-q15inb)</f>
        <v>0.1951219512195122</v>
      </c>
      <c r="I489" s="495">
        <v>4</v>
      </c>
      <c r="J489" s="496">
        <f aca="true" t="shared" si="70" ref="J489:J494">I489/totalo</f>
        <v>0.18181818181818182</v>
      </c>
      <c r="K489" s="522">
        <f>I489/(totalo-q15ino)</f>
        <v>0.19047619047619047</v>
      </c>
    </row>
    <row r="490" spans="1:11" ht="11.25">
      <c r="A490" s="482"/>
      <c r="B490" s="467" t="s">
        <v>346</v>
      </c>
      <c r="C490" s="495">
        <v>227</v>
      </c>
      <c r="D490" s="496">
        <f t="shared" si="68"/>
        <v>0.3900343642611684</v>
      </c>
      <c r="E490" s="522">
        <f>C490/(totalw-q15inw)</f>
        <v>0.3934142114384749</v>
      </c>
      <c r="F490" s="495">
        <v>17</v>
      </c>
      <c r="G490" s="496">
        <f t="shared" si="69"/>
        <v>0.4146341463414634</v>
      </c>
      <c r="H490" s="522">
        <f>F490/(totalb-q15inb)</f>
        <v>0.4146341463414634</v>
      </c>
      <c r="I490" s="495">
        <v>6</v>
      </c>
      <c r="J490" s="496">
        <f t="shared" si="70"/>
        <v>0.2727272727272727</v>
      </c>
      <c r="K490" s="522">
        <f>I490/(totalo-q15ino)</f>
        <v>0.2857142857142857</v>
      </c>
    </row>
    <row r="491" spans="1:11" ht="11.25">
      <c r="A491" s="482"/>
      <c r="B491" s="467" t="s">
        <v>347</v>
      </c>
      <c r="C491" s="495">
        <v>194</v>
      </c>
      <c r="D491" s="496">
        <f t="shared" si="68"/>
        <v>0.3333333333333333</v>
      </c>
      <c r="E491" s="522">
        <f>C491/(totalw-q15inw)</f>
        <v>0.3362218370883882</v>
      </c>
      <c r="F491" s="495">
        <v>8</v>
      </c>
      <c r="G491" s="496">
        <f t="shared" si="69"/>
        <v>0.1951219512195122</v>
      </c>
      <c r="H491" s="522">
        <f>F491/(totalb-q15inb)</f>
        <v>0.1951219512195122</v>
      </c>
      <c r="I491" s="495">
        <v>9</v>
      </c>
      <c r="J491" s="496">
        <f t="shared" si="70"/>
        <v>0.4090909090909091</v>
      </c>
      <c r="K491" s="522">
        <f>I491/(totalo-q15ino)</f>
        <v>0.42857142857142855</v>
      </c>
    </row>
    <row r="492" spans="1:11" ht="11.25">
      <c r="A492" s="482"/>
      <c r="B492" s="467" t="s">
        <v>348</v>
      </c>
      <c r="C492" s="495">
        <v>62</v>
      </c>
      <c r="D492" s="496">
        <f t="shared" si="68"/>
        <v>0.10652920962199312</v>
      </c>
      <c r="E492" s="522">
        <f>C492/(totalw-q15inw)</f>
        <v>0.10745233968804159</v>
      </c>
      <c r="F492" s="495">
        <v>5</v>
      </c>
      <c r="G492" s="496">
        <f t="shared" si="69"/>
        <v>0.12195121951219512</v>
      </c>
      <c r="H492" s="522">
        <f>F492/(totalb-q15inb)</f>
        <v>0.12195121951219512</v>
      </c>
      <c r="I492" s="495">
        <v>2</v>
      </c>
      <c r="J492" s="496">
        <f t="shared" si="70"/>
        <v>0.09090909090909091</v>
      </c>
      <c r="K492" s="522">
        <f>I492/(totalo-q15ino)</f>
        <v>0.09523809523809523</v>
      </c>
    </row>
    <row r="493" spans="1:11" ht="11.25">
      <c r="A493" s="482"/>
      <c r="B493" s="467" t="s">
        <v>349</v>
      </c>
      <c r="C493" s="495">
        <v>34</v>
      </c>
      <c r="D493" s="496">
        <f t="shared" si="68"/>
        <v>0.058419243986254296</v>
      </c>
      <c r="E493" s="522">
        <f>C493/(totalw-q15inw)</f>
        <v>0.058925476603119586</v>
      </c>
      <c r="F493" s="495">
        <v>3</v>
      </c>
      <c r="G493" s="496">
        <f t="shared" si="69"/>
        <v>0.07317073170731707</v>
      </c>
      <c r="H493" s="522">
        <f>F493/(totalb-q15inb)</f>
        <v>0.07317073170731707</v>
      </c>
      <c r="I493" s="495">
        <v>0</v>
      </c>
      <c r="J493" s="496">
        <f t="shared" si="70"/>
        <v>0</v>
      </c>
      <c r="K493" s="522">
        <f>I493/(totalo-q15ino)</f>
        <v>0</v>
      </c>
    </row>
    <row r="494" spans="1:11" ht="11.25">
      <c r="A494" s="499"/>
      <c r="B494" s="500" t="s">
        <v>18</v>
      </c>
      <c r="C494" s="501">
        <v>5</v>
      </c>
      <c r="D494" s="502">
        <f t="shared" si="68"/>
        <v>0.00859106529209622</v>
      </c>
      <c r="E494" s="507" t="s">
        <v>19</v>
      </c>
      <c r="F494" s="501">
        <v>0</v>
      </c>
      <c r="G494" s="502">
        <f t="shared" si="69"/>
        <v>0</v>
      </c>
      <c r="H494" s="507" t="s">
        <v>19</v>
      </c>
      <c r="I494" s="501">
        <v>1</v>
      </c>
      <c r="J494" s="502">
        <f t="shared" si="70"/>
        <v>0.045454545454545456</v>
      </c>
      <c r="K494" s="507" t="s">
        <v>19</v>
      </c>
    </row>
    <row r="495" spans="1:11" ht="11.25">
      <c r="A495" s="504" t="s">
        <v>369</v>
      </c>
      <c r="B495" s="467" t="s">
        <v>370</v>
      </c>
      <c r="C495" s="482"/>
      <c r="D495" s="505"/>
      <c r="E495" s="537"/>
      <c r="F495" s="482"/>
      <c r="G495" s="505"/>
      <c r="H495" s="537"/>
      <c r="I495" s="482"/>
      <c r="J495" s="505"/>
      <c r="K495" s="537"/>
    </row>
    <row r="496" spans="1:11" ht="11.25">
      <c r="A496" s="482"/>
      <c r="B496" s="467" t="s">
        <v>345</v>
      </c>
      <c r="C496" s="495">
        <v>116</v>
      </c>
      <c r="D496" s="496">
        <f aca="true" t="shared" si="71" ref="D496:D501">C496/totalw</f>
        <v>0.19931271477663232</v>
      </c>
      <c r="E496" s="522">
        <f>C496/(totalw-q15jnw)</f>
        <v>0.20173913043478262</v>
      </c>
      <c r="F496" s="495">
        <v>13</v>
      </c>
      <c r="G496" s="496">
        <f aca="true" t="shared" si="72" ref="G496:G501">F496/totalb</f>
        <v>0.3170731707317073</v>
      </c>
      <c r="H496" s="522">
        <f>F496/(totalb-q15jnb)</f>
        <v>0.3170731707317073</v>
      </c>
      <c r="I496" s="495">
        <v>3</v>
      </c>
      <c r="J496" s="496">
        <f aca="true" t="shared" si="73" ref="J496:J501">I496/totalo</f>
        <v>0.13636363636363635</v>
      </c>
      <c r="K496" s="522">
        <f>I496/(totalo-q15jno)</f>
        <v>0.14285714285714285</v>
      </c>
    </row>
    <row r="497" spans="1:11" ht="11.25">
      <c r="A497" s="482"/>
      <c r="B497" s="467" t="s">
        <v>346</v>
      </c>
      <c r="C497" s="495">
        <v>222</v>
      </c>
      <c r="D497" s="496">
        <f t="shared" si="71"/>
        <v>0.38144329896907214</v>
      </c>
      <c r="E497" s="522">
        <f>C497/(totalw-q15jnw)</f>
        <v>0.38608695652173913</v>
      </c>
      <c r="F497" s="495">
        <v>19</v>
      </c>
      <c r="G497" s="496">
        <f t="shared" si="72"/>
        <v>0.4634146341463415</v>
      </c>
      <c r="H497" s="522">
        <f>F497/(totalb-q15jnb)</f>
        <v>0.4634146341463415</v>
      </c>
      <c r="I497" s="495">
        <v>9</v>
      </c>
      <c r="J497" s="496">
        <f t="shared" si="73"/>
        <v>0.4090909090909091</v>
      </c>
      <c r="K497" s="522">
        <f>I497/(totalo-q15jno)</f>
        <v>0.42857142857142855</v>
      </c>
    </row>
    <row r="498" spans="1:11" ht="11.25">
      <c r="A498" s="482"/>
      <c r="B498" s="467" t="s">
        <v>347</v>
      </c>
      <c r="C498" s="495">
        <v>152</v>
      </c>
      <c r="D498" s="496">
        <f t="shared" si="71"/>
        <v>0.2611683848797251</v>
      </c>
      <c r="E498" s="522">
        <f>C498/(totalw-q15jnw)</f>
        <v>0.2643478260869565</v>
      </c>
      <c r="F498" s="495">
        <v>4</v>
      </c>
      <c r="G498" s="496">
        <f t="shared" si="72"/>
        <v>0.0975609756097561</v>
      </c>
      <c r="H498" s="522">
        <f>F498/(totalb-q15jnb)</f>
        <v>0.0975609756097561</v>
      </c>
      <c r="I498" s="495">
        <v>7</v>
      </c>
      <c r="J498" s="496">
        <f t="shared" si="73"/>
        <v>0.3181818181818182</v>
      </c>
      <c r="K498" s="522">
        <f>I498/(totalo-q15jno)</f>
        <v>0.3333333333333333</v>
      </c>
    </row>
    <row r="499" spans="1:11" ht="11.25">
      <c r="A499" s="482"/>
      <c r="B499" s="467" t="s">
        <v>348</v>
      </c>
      <c r="C499" s="495">
        <v>56</v>
      </c>
      <c r="D499" s="496">
        <f t="shared" si="71"/>
        <v>0.09621993127147767</v>
      </c>
      <c r="E499" s="522">
        <f>C499/(totalw-q15jnw)</f>
        <v>0.09739130434782609</v>
      </c>
      <c r="F499" s="495">
        <v>3</v>
      </c>
      <c r="G499" s="496">
        <f t="shared" si="72"/>
        <v>0.07317073170731707</v>
      </c>
      <c r="H499" s="522">
        <f>F499/(totalb-q15jnb)</f>
        <v>0.07317073170731707</v>
      </c>
      <c r="I499" s="495">
        <v>2</v>
      </c>
      <c r="J499" s="496">
        <f t="shared" si="73"/>
        <v>0.09090909090909091</v>
      </c>
      <c r="K499" s="522">
        <f>I499/(totalo-q15jno)</f>
        <v>0.09523809523809523</v>
      </c>
    </row>
    <row r="500" spans="1:11" ht="11.25">
      <c r="A500" s="482"/>
      <c r="B500" s="467" t="s">
        <v>349</v>
      </c>
      <c r="C500" s="495">
        <v>29</v>
      </c>
      <c r="D500" s="496">
        <f t="shared" si="71"/>
        <v>0.04982817869415808</v>
      </c>
      <c r="E500" s="522">
        <f>C500/(totalw-q15jnw)</f>
        <v>0.050434782608695654</v>
      </c>
      <c r="F500" s="495">
        <v>2</v>
      </c>
      <c r="G500" s="496">
        <f t="shared" si="72"/>
        <v>0.04878048780487805</v>
      </c>
      <c r="H500" s="522">
        <f>F500/(totalb-q15jnb)</f>
        <v>0.04878048780487805</v>
      </c>
      <c r="I500" s="495">
        <v>0</v>
      </c>
      <c r="J500" s="496">
        <f t="shared" si="73"/>
        <v>0</v>
      </c>
      <c r="K500" s="522">
        <f>I500/(totalo-q15jno)</f>
        <v>0</v>
      </c>
    </row>
    <row r="501" spans="1:11" ht="11.25">
      <c r="A501" s="499"/>
      <c r="B501" s="500" t="s">
        <v>18</v>
      </c>
      <c r="C501" s="501">
        <v>7</v>
      </c>
      <c r="D501" s="502">
        <f t="shared" si="71"/>
        <v>0.012027491408934709</v>
      </c>
      <c r="E501" s="507" t="s">
        <v>19</v>
      </c>
      <c r="F501" s="501">
        <v>0</v>
      </c>
      <c r="G501" s="502">
        <f t="shared" si="72"/>
        <v>0</v>
      </c>
      <c r="H501" s="507" t="s">
        <v>19</v>
      </c>
      <c r="I501" s="501">
        <v>1</v>
      </c>
      <c r="J501" s="502">
        <f t="shared" si="73"/>
        <v>0.045454545454545456</v>
      </c>
      <c r="K501" s="507" t="s">
        <v>19</v>
      </c>
    </row>
    <row r="502" spans="1:11" ht="11.25">
      <c r="A502" s="504" t="s">
        <v>371</v>
      </c>
      <c r="B502" s="467" t="s">
        <v>372</v>
      </c>
      <c r="C502" s="482"/>
      <c r="D502" s="505"/>
      <c r="E502" s="537"/>
      <c r="F502" s="482"/>
      <c r="G502" s="505"/>
      <c r="H502" s="537"/>
      <c r="I502" s="482"/>
      <c r="J502" s="505"/>
      <c r="K502" s="537"/>
    </row>
    <row r="503" spans="1:11" ht="11.25">
      <c r="A503" s="482"/>
      <c r="B503" s="467" t="s">
        <v>345</v>
      </c>
      <c r="C503" s="495">
        <v>140</v>
      </c>
      <c r="D503" s="496">
        <f aca="true" t="shared" si="74" ref="D503:D508">C503/totalw</f>
        <v>0.24054982817869416</v>
      </c>
      <c r="E503" s="522">
        <f>C503/(totalw-q15knw)</f>
        <v>0.24263431542461006</v>
      </c>
      <c r="F503" s="495">
        <v>15</v>
      </c>
      <c r="G503" s="496">
        <f aca="true" t="shared" si="75" ref="G503:G508">F503/totalb</f>
        <v>0.36585365853658536</v>
      </c>
      <c r="H503" s="522">
        <f>F503/(totalb-q15knb)</f>
        <v>0.36585365853658536</v>
      </c>
      <c r="I503" s="495">
        <v>4</v>
      </c>
      <c r="J503" s="496">
        <f aca="true" t="shared" si="76" ref="J503:J508">I503/totalo</f>
        <v>0.18181818181818182</v>
      </c>
      <c r="K503" s="522">
        <f>I503/(totalo-q15kno)</f>
        <v>0.19047619047619047</v>
      </c>
    </row>
    <row r="504" spans="1:11" ht="11.25">
      <c r="A504" s="482"/>
      <c r="B504" s="467" t="s">
        <v>346</v>
      </c>
      <c r="C504" s="495">
        <v>240</v>
      </c>
      <c r="D504" s="496">
        <f t="shared" si="74"/>
        <v>0.41237113402061853</v>
      </c>
      <c r="E504" s="522">
        <f>C504/(totalw-q15knw)</f>
        <v>0.41594454072790293</v>
      </c>
      <c r="F504" s="495">
        <v>16</v>
      </c>
      <c r="G504" s="496">
        <f t="shared" si="75"/>
        <v>0.3902439024390244</v>
      </c>
      <c r="H504" s="522">
        <f>F504/(totalb-q15knb)</f>
        <v>0.3902439024390244</v>
      </c>
      <c r="I504" s="495">
        <v>11</v>
      </c>
      <c r="J504" s="496">
        <f t="shared" si="76"/>
        <v>0.5</v>
      </c>
      <c r="K504" s="522">
        <f>I504/(totalo-q15kno)</f>
        <v>0.5238095238095238</v>
      </c>
    </row>
    <row r="505" spans="1:11" ht="11.25">
      <c r="A505" s="482"/>
      <c r="B505" s="467" t="s">
        <v>347</v>
      </c>
      <c r="C505" s="495">
        <v>134</v>
      </c>
      <c r="D505" s="496">
        <f t="shared" si="74"/>
        <v>0.23024054982817868</v>
      </c>
      <c r="E505" s="522">
        <f>C505/(totalw-q15knw)</f>
        <v>0.2322357019064125</v>
      </c>
      <c r="F505" s="495">
        <v>7</v>
      </c>
      <c r="G505" s="496">
        <f t="shared" si="75"/>
        <v>0.17073170731707318</v>
      </c>
      <c r="H505" s="522">
        <f>F505/(totalb-q15knb)</f>
        <v>0.17073170731707318</v>
      </c>
      <c r="I505" s="495">
        <v>5</v>
      </c>
      <c r="J505" s="496">
        <f t="shared" si="76"/>
        <v>0.22727272727272727</v>
      </c>
      <c r="K505" s="522">
        <f>I505/(totalo-q15kno)</f>
        <v>0.23809523809523808</v>
      </c>
    </row>
    <row r="506" spans="1:11" ht="11.25">
      <c r="A506" s="482"/>
      <c r="B506" s="467" t="s">
        <v>348</v>
      </c>
      <c r="C506" s="495">
        <v>41</v>
      </c>
      <c r="D506" s="496">
        <f t="shared" si="74"/>
        <v>0.070446735395189</v>
      </c>
      <c r="E506" s="522">
        <f>C506/(totalw-q15knw)</f>
        <v>0.07105719237435008</v>
      </c>
      <c r="F506" s="495">
        <v>2</v>
      </c>
      <c r="G506" s="496">
        <f t="shared" si="75"/>
        <v>0.04878048780487805</v>
      </c>
      <c r="H506" s="522">
        <f>F506/(totalb-q15knb)</f>
        <v>0.04878048780487805</v>
      </c>
      <c r="I506" s="495">
        <v>1</v>
      </c>
      <c r="J506" s="496">
        <f t="shared" si="76"/>
        <v>0.045454545454545456</v>
      </c>
      <c r="K506" s="522">
        <f>I506/(totalo-q15kno)</f>
        <v>0.047619047619047616</v>
      </c>
    </row>
    <row r="507" spans="1:11" ht="11.25">
      <c r="A507" s="482"/>
      <c r="B507" s="467" t="s">
        <v>349</v>
      </c>
      <c r="C507" s="495">
        <v>22</v>
      </c>
      <c r="D507" s="496">
        <f t="shared" si="74"/>
        <v>0.037800687285223365</v>
      </c>
      <c r="E507" s="522">
        <f>C507/(totalw-q15knw)</f>
        <v>0.038128249566724434</v>
      </c>
      <c r="F507" s="495">
        <v>1</v>
      </c>
      <c r="G507" s="496">
        <f t="shared" si="75"/>
        <v>0.024390243902439025</v>
      </c>
      <c r="H507" s="522">
        <f>F507/(totalb-q15knb)</f>
        <v>0.024390243902439025</v>
      </c>
      <c r="I507" s="495">
        <v>0</v>
      </c>
      <c r="J507" s="496">
        <f t="shared" si="76"/>
        <v>0</v>
      </c>
      <c r="K507" s="522">
        <f>I507/(totalo-q15kno)</f>
        <v>0</v>
      </c>
    </row>
    <row r="508" spans="1:11" ht="11.25">
      <c r="A508" s="499"/>
      <c r="B508" s="500" t="s">
        <v>18</v>
      </c>
      <c r="C508" s="501">
        <v>5</v>
      </c>
      <c r="D508" s="502">
        <f t="shared" si="74"/>
        <v>0.00859106529209622</v>
      </c>
      <c r="E508" s="507" t="s">
        <v>19</v>
      </c>
      <c r="F508" s="501">
        <v>0</v>
      </c>
      <c r="G508" s="502">
        <f t="shared" si="75"/>
        <v>0</v>
      </c>
      <c r="H508" s="507" t="s">
        <v>19</v>
      </c>
      <c r="I508" s="501">
        <v>1</v>
      </c>
      <c r="J508" s="502">
        <f t="shared" si="76"/>
        <v>0.045454545454545456</v>
      </c>
      <c r="K508" s="507" t="s">
        <v>19</v>
      </c>
    </row>
    <row r="509" spans="1:11" ht="11.25">
      <c r="A509" s="504" t="s">
        <v>374</v>
      </c>
      <c r="B509" s="467" t="s">
        <v>411</v>
      </c>
      <c r="C509" s="482"/>
      <c r="D509" s="505"/>
      <c r="E509" s="537"/>
      <c r="F509" s="482"/>
      <c r="G509" s="505"/>
      <c r="H509" s="537"/>
      <c r="I509" s="482"/>
      <c r="J509" s="505"/>
      <c r="K509" s="537"/>
    </row>
    <row r="510" spans="1:11" ht="11.25">
      <c r="A510" s="482"/>
      <c r="B510" s="467" t="s">
        <v>345</v>
      </c>
      <c r="C510" s="495">
        <v>79</v>
      </c>
      <c r="D510" s="496">
        <f aca="true" t="shared" si="77" ref="D510:D515">C510/totalw</f>
        <v>0.13573883161512026</v>
      </c>
      <c r="E510" s="522">
        <f>C510/(totalw-q15lnw)</f>
        <v>0.1369150779896014</v>
      </c>
      <c r="F510" s="495">
        <v>6</v>
      </c>
      <c r="G510" s="496">
        <f aca="true" t="shared" si="78" ref="G510:G515">F510/totalb</f>
        <v>0.14634146341463414</v>
      </c>
      <c r="H510" s="522">
        <f>F510/(totalb-q15lnb)</f>
        <v>0.14634146341463414</v>
      </c>
      <c r="I510" s="495">
        <v>2</v>
      </c>
      <c r="J510" s="496">
        <f aca="true" t="shared" si="79" ref="J510:J515">I510/totalo</f>
        <v>0.09090909090909091</v>
      </c>
      <c r="K510" s="522">
        <f>I510/(totalo-q15lno)</f>
        <v>0.09523809523809523</v>
      </c>
    </row>
    <row r="511" spans="1:11" ht="11.25">
      <c r="A511" s="482"/>
      <c r="B511" s="467" t="s">
        <v>346</v>
      </c>
      <c r="C511" s="495">
        <v>217</v>
      </c>
      <c r="D511" s="496">
        <f t="shared" si="77"/>
        <v>0.37285223367697595</v>
      </c>
      <c r="E511" s="522">
        <f>C511/(totalw-q15lnw)</f>
        <v>0.37608318890814557</v>
      </c>
      <c r="F511" s="495">
        <v>19</v>
      </c>
      <c r="G511" s="496">
        <f t="shared" si="78"/>
        <v>0.4634146341463415</v>
      </c>
      <c r="H511" s="522">
        <f>F511/(totalb-q15lnb)</f>
        <v>0.4634146341463415</v>
      </c>
      <c r="I511" s="495">
        <v>6</v>
      </c>
      <c r="J511" s="496">
        <f t="shared" si="79"/>
        <v>0.2727272727272727</v>
      </c>
      <c r="K511" s="522">
        <f>I511/(totalo-q15lno)</f>
        <v>0.2857142857142857</v>
      </c>
    </row>
    <row r="512" spans="1:11" ht="11.25">
      <c r="A512" s="482"/>
      <c r="B512" s="467" t="s">
        <v>347</v>
      </c>
      <c r="C512" s="495">
        <v>180</v>
      </c>
      <c r="D512" s="496">
        <f t="shared" si="77"/>
        <v>0.30927835051546393</v>
      </c>
      <c r="E512" s="522">
        <f>C512/(totalw-q15lnw)</f>
        <v>0.3119584055459272</v>
      </c>
      <c r="F512" s="495">
        <v>8</v>
      </c>
      <c r="G512" s="496">
        <f t="shared" si="78"/>
        <v>0.1951219512195122</v>
      </c>
      <c r="H512" s="522">
        <f>F512/(totalb-q15lnb)</f>
        <v>0.1951219512195122</v>
      </c>
      <c r="I512" s="495">
        <v>7</v>
      </c>
      <c r="J512" s="496">
        <f t="shared" si="79"/>
        <v>0.3181818181818182</v>
      </c>
      <c r="K512" s="522">
        <f>I512/(totalo-q15lno)</f>
        <v>0.3333333333333333</v>
      </c>
    </row>
    <row r="513" spans="1:11" ht="11.25">
      <c r="A513" s="482"/>
      <c r="B513" s="467" t="s">
        <v>348</v>
      </c>
      <c r="C513" s="495">
        <v>73</v>
      </c>
      <c r="D513" s="496">
        <f t="shared" si="77"/>
        <v>0.1254295532646048</v>
      </c>
      <c r="E513" s="522">
        <f>C513/(totalw-q15lnw)</f>
        <v>0.1265164644714038</v>
      </c>
      <c r="F513" s="495">
        <v>6</v>
      </c>
      <c r="G513" s="496">
        <f t="shared" si="78"/>
        <v>0.14634146341463414</v>
      </c>
      <c r="H513" s="522">
        <f>F513/(totalb-q15lnb)</f>
        <v>0.14634146341463414</v>
      </c>
      <c r="I513" s="495">
        <v>6</v>
      </c>
      <c r="J513" s="496">
        <f t="shared" si="79"/>
        <v>0.2727272727272727</v>
      </c>
      <c r="K513" s="522">
        <f>I513/(totalo-q15lno)</f>
        <v>0.2857142857142857</v>
      </c>
    </row>
    <row r="514" spans="1:11" ht="11.25">
      <c r="A514" s="482"/>
      <c r="B514" s="467" t="s">
        <v>349</v>
      </c>
      <c r="C514" s="495">
        <v>28</v>
      </c>
      <c r="D514" s="496">
        <f t="shared" si="77"/>
        <v>0.048109965635738834</v>
      </c>
      <c r="E514" s="522">
        <f>C514/(totalw-q15lnw)</f>
        <v>0.04852686308492201</v>
      </c>
      <c r="F514" s="495">
        <v>2</v>
      </c>
      <c r="G514" s="496">
        <f t="shared" si="78"/>
        <v>0.04878048780487805</v>
      </c>
      <c r="H514" s="522">
        <f>F514/(totalb-q15lnb)</f>
        <v>0.04878048780487805</v>
      </c>
      <c r="I514" s="495">
        <v>0</v>
      </c>
      <c r="J514" s="496">
        <f t="shared" si="79"/>
        <v>0</v>
      </c>
      <c r="K514" s="522">
        <f>I514/(totalo-q15lno)</f>
        <v>0</v>
      </c>
    </row>
    <row r="515" spans="1:11" ht="11.25">
      <c r="A515" s="485"/>
      <c r="B515" s="471" t="s">
        <v>18</v>
      </c>
      <c r="C515" s="501">
        <v>5</v>
      </c>
      <c r="D515" s="502">
        <f t="shared" si="77"/>
        <v>0.00859106529209622</v>
      </c>
      <c r="E515" s="507" t="s">
        <v>19</v>
      </c>
      <c r="F515" s="501">
        <v>0</v>
      </c>
      <c r="G515" s="502">
        <f t="shared" si="78"/>
        <v>0</v>
      </c>
      <c r="H515" s="507" t="s">
        <v>19</v>
      </c>
      <c r="I515" s="501">
        <v>1</v>
      </c>
      <c r="J515" s="502">
        <f t="shared" si="79"/>
        <v>0.045454545454545456</v>
      </c>
      <c r="K515" s="507" t="s">
        <v>19</v>
      </c>
    </row>
    <row r="516" spans="1:11" ht="11.25">
      <c r="A516" s="514" t="s">
        <v>412</v>
      </c>
      <c r="B516" s="515" t="s">
        <v>377</v>
      </c>
      <c r="C516" s="539"/>
      <c r="D516" s="540"/>
      <c r="E516" s="521"/>
      <c r="F516" s="475"/>
      <c r="G516" s="516"/>
      <c r="H516" s="521"/>
      <c r="I516" s="475"/>
      <c r="J516" s="516"/>
      <c r="K516" s="521"/>
    </row>
    <row r="517" spans="1:11" ht="11.25">
      <c r="A517" s="482"/>
      <c r="B517" s="518" t="s">
        <v>378</v>
      </c>
      <c r="C517" s="495">
        <v>108</v>
      </c>
      <c r="D517" s="496">
        <f aca="true" t="shared" si="80" ref="D517:D522">C517/totalw</f>
        <v>0.18556701030927836</v>
      </c>
      <c r="E517" s="522">
        <f>C517/(totalw-q16nw)</f>
        <v>0.18782608695652173</v>
      </c>
      <c r="F517" s="495">
        <v>10</v>
      </c>
      <c r="G517" s="496">
        <f aca="true" t="shared" si="81" ref="G517:G522">F517/totalb</f>
        <v>0.24390243902439024</v>
      </c>
      <c r="H517" s="522">
        <f>F517/(totalb-q16nb)</f>
        <v>0.24390243902439024</v>
      </c>
      <c r="I517" s="495">
        <v>4</v>
      </c>
      <c r="J517" s="496">
        <f aca="true" t="shared" si="82" ref="J517:J522">I517/totalo</f>
        <v>0.18181818181818182</v>
      </c>
      <c r="K517" s="522">
        <f>I517/(totalo-q16no)</f>
        <v>0.19047619047619047</v>
      </c>
    </row>
    <row r="518" spans="1:11" ht="11.25">
      <c r="A518" s="482"/>
      <c r="B518" s="518" t="s">
        <v>379</v>
      </c>
      <c r="C518" s="495">
        <v>295</v>
      </c>
      <c r="D518" s="496">
        <f t="shared" si="80"/>
        <v>0.506872852233677</v>
      </c>
      <c r="E518" s="522">
        <f>C518/(totalw-q16nw)</f>
        <v>0.5130434782608696</v>
      </c>
      <c r="F518" s="495">
        <v>22</v>
      </c>
      <c r="G518" s="496">
        <f t="shared" si="81"/>
        <v>0.5365853658536586</v>
      </c>
      <c r="H518" s="522">
        <f>F518/(totalb-q16nb)</f>
        <v>0.5365853658536586</v>
      </c>
      <c r="I518" s="495">
        <v>10</v>
      </c>
      <c r="J518" s="496">
        <f t="shared" si="82"/>
        <v>0.45454545454545453</v>
      </c>
      <c r="K518" s="522">
        <f>I518/(totalo-q16no)</f>
        <v>0.47619047619047616</v>
      </c>
    </row>
    <row r="519" spans="1:11" ht="11.25">
      <c r="A519" s="482"/>
      <c r="B519" s="518" t="s">
        <v>380</v>
      </c>
      <c r="C519" s="495">
        <v>128</v>
      </c>
      <c r="D519" s="496">
        <f t="shared" si="80"/>
        <v>0.21993127147766323</v>
      </c>
      <c r="E519" s="522">
        <f>C519/(totalw-q16nw)</f>
        <v>0.22260869565217392</v>
      </c>
      <c r="F519" s="495">
        <v>7</v>
      </c>
      <c r="G519" s="496">
        <f t="shared" si="81"/>
        <v>0.17073170731707318</v>
      </c>
      <c r="H519" s="522">
        <f>F519/(totalb-q16nb)</f>
        <v>0.17073170731707318</v>
      </c>
      <c r="I519" s="495">
        <v>7</v>
      </c>
      <c r="J519" s="496">
        <f t="shared" si="82"/>
        <v>0.3181818181818182</v>
      </c>
      <c r="K519" s="522">
        <f>I519/(totalo-q16no)</f>
        <v>0.3333333333333333</v>
      </c>
    </row>
    <row r="520" spans="1:11" ht="11.25">
      <c r="A520" s="482"/>
      <c r="B520" s="518" t="s">
        <v>381</v>
      </c>
      <c r="C520" s="495">
        <v>38</v>
      </c>
      <c r="D520" s="496">
        <f t="shared" si="80"/>
        <v>0.06529209621993128</v>
      </c>
      <c r="E520" s="522">
        <f>C520/(totalw-q16nw)</f>
        <v>0.06608695652173913</v>
      </c>
      <c r="F520" s="495">
        <v>1</v>
      </c>
      <c r="G520" s="496">
        <f t="shared" si="81"/>
        <v>0.024390243902439025</v>
      </c>
      <c r="H520" s="522">
        <f>F520/(totalb-q16nb)</f>
        <v>0.024390243902439025</v>
      </c>
      <c r="I520" s="495">
        <v>0</v>
      </c>
      <c r="J520" s="496">
        <f t="shared" si="82"/>
        <v>0</v>
      </c>
      <c r="K520" s="522">
        <f>I520/(totalo-q16no)</f>
        <v>0</v>
      </c>
    </row>
    <row r="521" spans="1:11" ht="11.25">
      <c r="A521" s="482"/>
      <c r="B521" s="518" t="s">
        <v>382</v>
      </c>
      <c r="C521" s="495">
        <v>6</v>
      </c>
      <c r="D521" s="496">
        <f t="shared" si="80"/>
        <v>0.010309278350515464</v>
      </c>
      <c r="E521" s="522">
        <f>C521/(totalw-q16nw)</f>
        <v>0.010434782608695653</v>
      </c>
      <c r="F521" s="495">
        <v>1</v>
      </c>
      <c r="G521" s="496">
        <f t="shared" si="81"/>
        <v>0.024390243902439025</v>
      </c>
      <c r="H521" s="522">
        <f>F521/(totalb-q16nb)</f>
        <v>0.024390243902439025</v>
      </c>
      <c r="I521" s="495">
        <v>0</v>
      </c>
      <c r="J521" s="496">
        <f t="shared" si="82"/>
        <v>0</v>
      </c>
      <c r="K521" s="522">
        <f>I521/(totalo-q16no)</f>
        <v>0</v>
      </c>
    </row>
    <row r="522" spans="1:11" ht="11.25">
      <c r="A522" s="499"/>
      <c r="B522" s="523" t="s">
        <v>18</v>
      </c>
      <c r="C522" s="501">
        <v>7</v>
      </c>
      <c r="D522" s="502">
        <f t="shared" si="80"/>
        <v>0.012027491408934709</v>
      </c>
      <c r="E522" s="507" t="s">
        <v>19</v>
      </c>
      <c r="F522" s="501">
        <v>0</v>
      </c>
      <c r="G522" s="502">
        <f t="shared" si="81"/>
        <v>0</v>
      </c>
      <c r="H522" s="507" t="s">
        <v>19</v>
      </c>
      <c r="I522" s="501">
        <v>1</v>
      </c>
      <c r="J522" s="502">
        <f t="shared" si="82"/>
        <v>0.045454545454545456</v>
      </c>
      <c r="K522" s="507" t="s">
        <v>19</v>
      </c>
    </row>
    <row r="523" spans="1:11" ht="11.25">
      <c r="A523" s="485" t="s">
        <v>415</v>
      </c>
      <c r="B523" s="470"/>
      <c r="C523" s="470"/>
      <c r="D523" s="550"/>
      <c r="E523" s="550"/>
      <c r="F523" s="470"/>
      <c r="G523" s="550"/>
      <c r="H523" s="550"/>
      <c r="I523" s="470"/>
      <c r="J523" s="550"/>
      <c r="K523" s="551"/>
    </row>
    <row r="524" spans="1:11" ht="12.75">
      <c r="A524" s="458" t="s">
        <v>337</v>
      </c>
      <c r="B524" s="459"/>
      <c r="C524" s="460"/>
      <c r="D524" s="460"/>
      <c r="E524" s="460"/>
      <c r="F524" s="461"/>
      <c r="G524" s="461"/>
      <c r="H524" s="461"/>
      <c r="I524" s="461"/>
      <c r="J524" s="461"/>
      <c r="K524" s="462" t="s">
        <v>419</v>
      </c>
    </row>
    <row r="525" spans="1:11" ht="12.75">
      <c r="A525" s="464" t="s">
        <v>313</v>
      </c>
      <c r="B525" s="465"/>
      <c r="C525" s="466"/>
      <c r="D525" s="466"/>
      <c r="E525" s="466"/>
      <c r="F525" s="467"/>
      <c r="G525" s="467"/>
      <c r="H525" s="467"/>
      <c r="I525" s="467"/>
      <c r="J525" s="467"/>
      <c r="K525" s="468"/>
    </row>
    <row r="526" spans="1:11" ht="12.75">
      <c r="A526" s="6" t="s">
        <v>339</v>
      </c>
      <c r="B526" s="465"/>
      <c r="C526" s="466"/>
      <c r="D526" s="466"/>
      <c r="E526" s="466"/>
      <c r="F526" s="467"/>
      <c r="G526" s="467"/>
      <c r="H526" s="467"/>
      <c r="I526" s="467"/>
      <c r="J526" s="467"/>
      <c r="K526" s="468"/>
    </row>
    <row r="527" spans="1:15" ht="12.75">
      <c r="A527" s="469" t="s">
        <v>340</v>
      </c>
      <c r="B527" s="470"/>
      <c r="C527" s="470"/>
      <c r="D527" s="470"/>
      <c r="E527" s="470"/>
      <c r="F527" s="470"/>
      <c r="G527" s="470"/>
      <c r="H527" s="471"/>
      <c r="I527" s="471"/>
      <c r="J527" s="471"/>
      <c r="K527" s="472"/>
      <c r="L527" s="473"/>
      <c r="M527" s="474"/>
      <c r="N527" s="473"/>
      <c r="O527" s="473"/>
    </row>
    <row r="528" spans="1:11" ht="17.25" customHeight="1">
      <c r="A528" s="478"/>
      <c r="B528" s="476"/>
      <c r="C528" s="525" t="s">
        <v>185</v>
      </c>
      <c r="D528" s="526"/>
      <c r="E528" s="541"/>
      <c r="F528" s="525" t="s">
        <v>186</v>
      </c>
      <c r="G528" s="526"/>
      <c r="H528" s="541"/>
      <c r="I528" s="525" t="s">
        <v>187</v>
      </c>
      <c r="J528" s="526"/>
      <c r="K528" s="541"/>
    </row>
    <row r="529" spans="1:12" ht="11.25">
      <c r="A529" s="482"/>
      <c r="B529" s="468"/>
      <c r="C529" s="497"/>
      <c r="D529" s="530" t="s">
        <v>5</v>
      </c>
      <c r="E529" s="542" t="s">
        <v>5</v>
      </c>
      <c r="F529" s="497"/>
      <c r="G529" s="530" t="s">
        <v>5</v>
      </c>
      <c r="H529" s="542" t="s">
        <v>5</v>
      </c>
      <c r="I529" s="497"/>
      <c r="J529" s="530" t="s">
        <v>5</v>
      </c>
      <c r="K529" s="542" t="s">
        <v>5</v>
      </c>
      <c r="L529" s="546"/>
    </row>
    <row r="530" spans="1:12" ht="11.25" customHeight="1">
      <c r="A530" s="480"/>
      <c r="B530" s="481" t="s">
        <v>417</v>
      </c>
      <c r="C530" s="497"/>
      <c r="D530" s="530" t="s">
        <v>7</v>
      </c>
      <c r="E530" s="542" t="s">
        <v>8</v>
      </c>
      <c r="F530" s="497"/>
      <c r="G530" s="530" t="s">
        <v>7</v>
      </c>
      <c r="H530" s="542" t="s">
        <v>8</v>
      </c>
      <c r="I530" s="497"/>
      <c r="J530" s="530" t="s">
        <v>7</v>
      </c>
      <c r="K530" s="542" t="s">
        <v>8</v>
      </c>
      <c r="L530" s="546"/>
    </row>
    <row r="531" spans="1:12" ht="11.25">
      <c r="A531" s="485"/>
      <c r="B531" s="486"/>
      <c r="C531" s="531" t="s">
        <v>9</v>
      </c>
      <c r="D531" s="532" t="s">
        <v>10</v>
      </c>
      <c r="E531" s="543" t="s">
        <v>10</v>
      </c>
      <c r="F531" s="531" t="s">
        <v>9</v>
      </c>
      <c r="G531" s="532" t="s">
        <v>10</v>
      </c>
      <c r="H531" s="543" t="s">
        <v>10</v>
      </c>
      <c r="I531" s="531" t="s">
        <v>9</v>
      </c>
      <c r="J531" s="532" t="s">
        <v>10</v>
      </c>
      <c r="K531" s="543" t="s">
        <v>10</v>
      </c>
      <c r="L531" s="547"/>
    </row>
    <row r="532" spans="1:11" ht="11.25">
      <c r="A532" s="514" t="s">
        <v>383</v>
      </c>
      <c r="B532" s="515" t="s">
        <v>384</v>
      </c>
      <c r="C532" s="475"/>
      <c r="D532" s="516"/>
      <c r="E532" s="521"/>
      <c r="F532" s="478"/>
      <c r="G532" s="538"/>
      <c r="H532" s="552"/>
      <c r="I532" s="478"/>
      <c r="J532" s="459"/>
      <c r="K532" s="476"/>
    </row>
    <row r="533" spans="1:11" ht="11.25">
      <c r="A533" s="497" t="s">
        <v>343</v>
      </c>
      <c r="B533" s="518" t="s">
        <v>385</v>
      </c>
      <c r="C533" s="495"/>
      <c r="D533" s="496"/>
      <c r="E533" s="484"/>
      <c r="F533" s="482"/>
      <c r="G533" s="465"/>
      <c r="H533" s="468"/>
      <c r="I533" s="482"/>
      <c r="J533" s="465"/>
      <c r="K533" s="468"/>
    </row>
    <row r="534" spans="1:11" ht="11.25">
      <c r="A534" s="482"/>
      <c r="B534" s="518" t="s">
        <v>386</v>
      </c>
      <c r="C534" s="495">
        <v>337</v>
      </c>
      <c r="D534" s="496">
        <f>C534/totalw</f>
        <v>0.5790378006872853</v>
      </c>
      <c r="E534" s="522">
        <f>C534/(totalw-q17anw)</f>
        <v>0.5820379965457686</v>
      </c>
      <c r="F534" s="495">
        <v>28</v>
      </c>
      <c r="G534" s="496">
        <f>F534/totalb</f>
        <v>0.6829268292682927</v>
      </c>
      <c r="H534" s="522">
        <f>F534/(totalb-q17anb)</f>
        <v>0.6829268292682927</v>
      </c>
      <c r="I534" s="495">
        <v>16</v>
      </c>
      <c r="J534" s="496">
        <f>I534/totalo</f>
        <v>0.7272727272727273</v>
      </c>
      <c r="K534" s="522">
        <f>I534/(totalo-q17ano)</f>
        <v>0.7619047619047619</v>
      </c>
    </row>
    <row r="535" spans="1:11" ht="11.25">
      <c r="A535" s="482"/>
      <c r="B535" s="518" t="s">
        <v>387</v>
      </c>
      <c r="C535" s="495">
        <v>170</v>
      </c>
      <c r="D535" s="496">
        <f>C535/totalw</f>
        <v>0.2920962199312715</v>
      </c>
      <c r="E535" s="522">
        <f>C535/(totalw-q17anw)</f>
        <v>0.29360967184801384</v>
      </c>
      <c r="F535" s="495">
        <v>10</v>
      </c>
      <c r="G535" s="496">
        <f>F535/totalb</f>
        <v>0.24390243902439024</v>
      </c>
      <c r="H535" s="522">
        <f>F535/(totalb-q17anb)</f>
        <v>0.24390243902439024</v>
      </c>
      <c r="I535" s="495">
        <v>4</v>
      </c>
      <c r="J535" s="496">
        <f>I535/totalo</f>
        <v>0.18181818181818182</v>
      </c>
      <c r="K535" s="522">
        <f>I535/(totalo-q17ano)</f>
        <v>0.19047619047619047</v>
      </c>
    </row>
    <row r="536" spans="1:11" ht="11.25">
      <c r="A536" s="482"/>
      <c r="B536" s="518" t="s">
        <v>388</v>
      </c>
      <c r="C536" s="495">
        <v>46</v>
      </c>
      <c r="D536" s="496">
        <f>C536/totalw</f>
        <v>0.07903780068728522</v>
      </c>
      <c r="E536" s="522">
        <f>C536/(totalw-q17anw)</f>
        <v>0.07944732297063903</v>
      </c>
      <c r="F536" s="495">
        <v>2</v>
      </c>
      <c r="G536" s="496">
        <f>F536/totalb</f>
        <v>0.04878048780487805</v>
      </c>
      <c r="H536" s="522">
        <f>F536/(totalb-q17anb)</f>
        <v>0.04878048780487805</v>
      </c>
      <c r="I536" s="495">
        <v>0</v>
      </c>
      <c r="J536" s="496">
        <f>I536/totalo</f>
        <v>0</v>
      </c>
      <c r="K536" s="522">
        <f>I536/(totalo-q17ano)</f>
        <v>0</v>
      </c>
    </row>
    <row r="537" spans="1:11" ht="11.25">
      <c r="A537" s="482"/>
      <c r="B537" s="467" t="s">
        <v>389</v>
      </c>
      <c r="C537" s="495">
        <v>26</v>
      </c>
      <c r="D537" s="496">
        <f>C537/totalw</f>
        <v>0.044673539518900345</v>
      </c>
      <c r="E537" s="522">
        <f>C537/(totalw-q17anw)</f>
        <v>0.044905008635578586</v>
      </c>
      <c r="F537" s="495">
        <v>1</v>
      </c>
      <c r="G537" s="496">
        <f>F537/totalb</f>
        <v>0.024390243902439025</v>
      </c>
      <c r="H537" s="522">
        <f>F537/(totalb-q17anb)</f>
        <v>0.024390243902439025</v>
      </c>
      <c r="I537" s="495">
        <v>1</v>
      </c>
      <c r="J537" s="496">
        <f>I537/totalo</f>
        <v>0.045454545454545456</v>
      </c>
      <c r="K537" s="522">
        <f>I537/(totalo-q17ano)</f>
        <v>0.047619047619047616</v>
      </c>
    </row>
    <row r="538" spans="1:11" ht="11.25">
      <c r="A538" s="499"/>
      <c r="B538" s="500" t="s">
        <v>18</v>
      </c>
      <c r="C538" s="501">
        <v>3</v>
      </c>
      <c r="D538" s="502">
        <f>C538/totalw</f>
        <v>0.005154639175257732</v>
      </c>
      <c r="E538" s="507" t="s">
        <v>19</v>
      </c>
      <c r="F538" s="501">
        <v>0</v>
      </c>
      <c r="G538" s="502">
        <f>F538/totalb</f>
        <v>0</v>
      </c>
      <c r="H538" s="507" t="s">
        <v>19</v>
      </c>
      <c r="I538" s="501">
        <v>1</v>
      </c>
      <c r="J538" s="502">
        <f>I538/totalo</f>
        <v>0.045454545454545456</v>
      </c>
      <c r="K538" s="507" t="s">
        <v>19</v>
      </c>
    </row>
    <row r="539" spans="1:11" ht="11.25">
      <c r="A539" s="497" t="s">
        <v>350</v>
      </c>
      <c r="B539" s="518" t="s">
        <v>390</v>
      </c>
      <c r="C539" s="495"/>
      <c r="D539" s="496"/>
      <c r="E539" s="524"/>
      <c r="F539" s="482"/>
      <c r="G539" s="505"/>
      <c r="H539" s="537"/>
      <c r="I539" s="482"/>
      <c r="J539" s="505"/>
      <c r="K539" s="537"/>
    </row>
    <row r="540" spans="1:11" ht="11.25">
      <c r="A540" s="482"/>
      <c r="B540" s="518" t="s">
        <v>386</v>
      </c>
      <c r="C540" s="495">
        <v>169</v>
      </c>
      <c r="D540" s="496">
        <f>C540/totalw</f>
        <v>0.29037800687285226</v>
      </c>
      <c r="E540" s="522">
        <f>C540/(totalw-q17bnw)</f>
        <v>0.29238754325259514</v>
      </c>
      <c r="F540" s="482">
        <v>20</v>
      </c>
      <c r="G540" s="496">
        <f>F540/totalb</f>
        <v>0.4878048780487805</v>
      </c>
      <c r="H540" s="522">
        <f>F540/(totalb-q17bnb)</f>
        <v>0.4878048780487805</v>
      </c>
      <c r="I540" s="482">
        <v>8</v>
      </c>
      <c r="J540" s="496">
        <f>I540/totalo</f>
        <v>0.36363636363636365</v>
      </c>
      <c r="K540" s="522">
        <f>I540/(totalo-q17bno)</f>
        <v>0.38095238095238093</v>
      </c>
    </row>
    <row r="541" spans="1:11" ht="11.25">
      <c r="A541" s="482"/>
      <c r="B541" s="518" t="s">
        <v>387</v>
      </c>
      <c r="C541" s="495">
        <v>227</v>
      </c>
      <c r="D541" s="496">
        <f>C541/totalw</f>
        <v>0.3900343642611684</v>
      </c>
      <c r="E541" s="522">
        <f>C541/(totalw-q17bnw)</f>
        <v>0.39273356401384085</v>
      </c>
      <c r="F541" s="495">
        <v>13</v>
      </c>
      <c r="G541" s="496">
        <f>F541/totalb</f>
        <v>0.3170731707317073</v>
      </c>
      <c r="H541" s="522">
        <f>F541/(totalb-q17bnb)</f>
        <v>0.3170731707317073</v>
      </c>
      <c r="I541" s="495">
        <v>6</v>
      </c>
      <c r="J541" s="496">
        <f>I541/totalo</f>
        <v>0.2727272727272727</v>
      </c>
      <c r="K541" s="522">
        <f>I541/(totalo-q17bno)</f>
        <v>0.2857142857142857</v>
      </c>
    </row>
    <row r="542" spans="1:11" ht="11.25">
      <c r="A542" s="482"/>
      <c r="B542" s="518" t="s">
        <v>388</v>
      </c>
      <c r="C542" s="495">
        <v>121</v>
      </c>
      <c r="D542" s="496">
        <f>C542/totalw</f>
        <v>0.20790378006872853</v>
      </c>
      <c r="E542" s="522">
        <f>C542/(totalw-q17bnw)</f>
        <v>0.2093425605536332</v>
      </c>
      <c r="F542" s="495">
        <v>3</v>
      </c>
      <c r="G542" s="496">
        <f>F542/totalb</f>
        <v>0.07317073170731707</v>
      </c>
      <c r="H542" s="522">
        <f>F542/(totalb-q17bnb)</f>
        <v>0.07317073170731707</v>
      </c>
      <c r="I542" s="495">
        <v>3</v>
      </c>
      <c r="J542" s="496">
        <f>I542/totalo</f>
        <v>0.13636363636363635</v>
      </c>
      <c r="K542" s="522">
        <f>I542/(totalo-q17bno)</f>
        <v>0.14285714285714285</v>
      </c>
    </row>
    <row r="543" spans="1:11" ht="11.25">
      <c r="A543" s="482"/>
      <c r="B543" s="467" t="s">
        <v>389</v>
      </c>
      <c r="C543" s="495">
        <v>61</v>
      </c>
      <c r="D543" s="496">
        <f>C543/totalw</f>
        <v>0.10481099656357389</v>
      </c>
      <c r="E543" s="522">
        <f>C543/(totalw-q17bnw)</f>
        <v>0.10553633217993079</v>
      </c>
      <c r="F543" s="495">
        <v>5</v>
      </c>
      <c r="G543" s="496">
        <f>F543/totalb</f>
        <v>0.12195121951219512</v>
      </c>
      <c r="H543" s="522">
        <f>F543/(totalb-q17bnb)</f>
        <v>0.12195121951219512</v>
      </c>
      <c r="I543" s="495">
        <v>4</v>
      </c>
      <c r="J543" s="496">
        <f>I543/totalo</f>
        <v>0.18181818181818182</v>
      </c>
      <c r="K543" s="522">
        <f>I543/(totalo-q17bno)</f>
        <v>0.19047619047619047</v>
      </c>
    </row>
    <row r="544" spans="1:11" ht="11.25">
      <c r="A544" s="499"/>
      <c r="B544" s="500" t="s">
        <v>18</v>
      </c>
      <c r="C544" s="501">
        <v>4</v>
      </c>
      <c r="D544" s="502">
        <f>C544/totalw</f>
        <v>0.006872852233676976</v>
      </c>
      <c r="E544" s="507" t="s">
        <v>19</v>
      </c>
      <c r="F544" s="501">
        <v>0</v>
      </c>
      <c r="G544" s="502">
        <f>F544/totalb</f>
        <v>0</v>
      </c>
      <c r="H544" s="507" t="s">
        <v>19</v>
      </c>
      <c r="I544" s="501">
        <v>1</v>
      </c>
      <c r="J544" s="502">
        <f>I544/totalo</f>
        <v>0.045454545454545456</v>
      </c>
      <c r="K544" s="507" t="s">
        <v>19</v>
      </c>
    </row>
    <row r="545" spans="1:11" ht="11.25">
      <c r="A545" s="497" t="s">
        <v>352</v>
      </c>
      <c r="B545" s="518" t="s">
        <v>391</v>
      </c>
      <c r="C545" s="495"/>
      <c r="D545" s="496"/>
      <c r="E545" s="524"/>
      <c r="F545" s="482"/>
      <c r="G545" s="505"/>
      <c r="H545" s="537"/>
      <c r="I545" s="482"/>
      <c r="J545" s="505"/>
      <c r="K545" s="537"/>
    </row>
    <row r="546" spans="1:11" ht="11.25">
      <c r="A546" s="482"/>
      <c r="B546" s="518" t="s">
        <v>386</v>
      </c>
      <c r="C546" s="495">
        <v>368</v>
      </c>
      <c r="D546" s="496">
        <f>C546/totalw</f>
        <v>0.6323024054982818</v>
      </c>
      <c r="E546" s="522">
        <f>C546/(totalw-q17cnw)</f>
        <v>0.6366782006920415</v>
      </c>
      <c r="F546" s="482">
        <v>33</v>
      </c>
      <c r="G546" s="496">
        <f>F546/totalb</f>
        <v>0.8048780487804879</v>
      </c>
      <c r="H546" s="522">
        <f>F546/(totalb-q17cnb)</f>
        <v>0.8048780487804879</v>
      </c>
      <c r="I546" s="482">
        <v>15</v>
      </c>
      <c r="J546" s="496">
        <f>I546/totalo</f>
        <v>0.6818181818181818</v>
      </c>
      <c r="K546" s="522">
        <f>I546/(totalo-q17cno)</f>
        <v>0.7142857142857143</v>
      </c>
    </row>
    <row r="547" spans="1:11" ht="11.25">
      <c r="A547" s="482"/>
      <c r="B547" s="518" t="s">
        <v>387</v>
      </c>
      <c r="C547" s="495">
        <v>139</v>
      </c>
      <c r="D547" s="496">
        <f>C547/totalw</f>
        <v>0.23883161512027493</v>
      </c>
      <c r="E547" s="522">
        <f>C547/(totalw-q17cnw)</f>
        <v>0.24048442906574394</v>
      </c>
      <c r="F547" s="495">
        <v>4</v>
      </c>
      <c r="G547" s="496">
        <f>F547/totalb</f>
        <v>0.0975609756097561</v>
      </c>
      <c r="H547" s="522">
        <f>F547/(totalb-q17cnb)</f>
        <v>0.0975609756097561</v>
      </c>
      <c r="I547" s="495">
        <v>2</v>
      </c>
      <c r="J547" s="496">
        <f>I547/totalo</f>
        <v>0.09090909090909091</v>
      </c>
      <c r="K547" s="522">
        <f>I547/(totalo-q17cno)</f>
        <v>0.09523809523809523</v>
      </c>
    </row>
    <row r="548" spans="1:11" ht="11.25">
      <c r="A548" s="482"/>
      <c r="B548" s="518" t="s">
        <v>388</v>
      </c>
      <c r="C548" s="495">
        <v>50</v>
      </c>
      <c r="D548" s="496">
        <f>C548/totalw</f>
        <v>0.0859106529209622</v>
      </c>
      <c r="E548" s="522">
        <f>C548/(totalw-q17cnw)</f>
        <v>0.08650519031141868</v>
      </c>
      <c r="F548" s="495">
        <v>3</v>
      </c>
      <c r="G548" s="496">
        <f>F548/totalb</f>
        <v>0.07317073170731707</v>
      </c>
      <c r="H548" s="522">
        <f>F548/(totalb-q17cnb)</f>
        <v>0.07317073170731707</v>
      </c>
      <c r="I548" s="495">
        <v>2</v>
      </c>
      <c r="J548" s="496">
        <f>I548/totalo</f>
        <v>0.09090909090909091</v>
      </c>
      <c r="K548" s="522">
        <f>I548/(totalo-q17cno)</f>
        <v>0.09523809523809523</v>
      </c>
    </row>
    <row r="549" spans="1:11" ht="11.25">
      <c r="A549" s="482"/>
      <c r="B549" s="467" t="s">
        <v>389</v>
      </c>
      <c r="C549" s="495">
        <v>21</v>
      </c>
      <c r="D549" s="496">
        <f>C549/totalw</f>
        <v>0.03608247422680412</v>
      </c>
      <c r="E549" s="522">
        <f>C549/(totalw-q17cnw)</f>
        <v>0.03633217993079585</v>
      </c>
      <c r="F549" s="495">
        <v>1</v>
      </c>
      <c r="G549" s="496">
        <f>F549/totalb</f>
        <v>0.024390243902439025</v>
      </c>
      <c r="H549" s="522">
        <f>F549/(totalb-q17cnb)</f>
        <v>0.024390243902439025</v>
      </c>
      <c r="I549" s="495">
        <v>2</v>
      </c>
      <c r="J549" s="496">
        <f>I549/totalo</f>
        <v>0.09090909090909091</v>
      </c>
      <c r="K549" s="522">
        <f>I549/(totalo-q17cno)</f>
        <v>0.09523809523809523</v>
      </c>
    </row>
    <row r="550" spans="1:11" ht="11.25">
      <c r="A550" s="482"/>
      <c r="B550" s="500" t="s">
        <v>18</v>
      </c>
      <c r="C550" s="511">
        <v>4</v>
      </c>
      <c r="D550" s="502">
        <f>C550/totalw</f>
        <v>0.006872852233676976</v>
      </c>
      <c r="E550" s="507" t="s">
        <v>19</v>
      </c>
      <c r="F550" s="495">
        <v>0</v>
      </c>
      <c r="G550" s="496">
        <f>F550/totalb</f>
        <v>0</v>
      </c>
      <c r="H550" s="522" t="s">
        <v>19</v>
      </c>
      <c r="I550" s="495">
        <v>1</v>
      </c>
      <c r="J550" s="496">
        <f>I550/totalo</f>
        <v>0.045454545454545456</v>
      </c>
      <c r="K550" s="522" t="s">
        <v>19</v>
      </c>
    </row>
    <row r="551" spans="1:11" ht="11.25">
      <c r="A551" s="514" t="s">
        <v>267</v>
      </c>
      <c r="B551" s="515" t="s">
        <v>268</v>
      </c>
      <c r="C551" s="461"/>
      <c r="D551" s="516"/>
      <c r="E551" s="521"/>
      <c r="F551" s="478"/>
      <c r="G551" s="538"/>
      <c r="H551" s="552"/>
      <c r="I551" s="478"/>
      <c r="J551" s="538"/>
      <c r="K551" s="552"/>
    </row>
    <row r="552" spans="1:11" ht="11.25">
      <c r="A552" s="482"/>
      <c r="B552" s="520" t="s">
        <v>269</v>
      </c>
      <c r="C552" s="467"/>
      <c r="D552" s="496"/>
      <c r="E552" s="484"/>
      <c r="F552" s="482"/>
      <c r="G552" s="465"/>
      <c r="H552" s="468"/>
      <c r="I552" s="482"/>
      <c r="J552" s="465"/>
      <c r="K552" s="468"/>
    </row>
    <row r="553" spans="1:11" ht="11.25">
      <c r="A553" s="482"/>
      <c r="B553" s="518" t="s">
        <v>270</v>
      </c>
      <c r="C553" s="467">
        <v>50</v>
      </c>
      <c r="D553" s="496">
        <f aca="true" t="shared" si="83" ref="D553:D558">C553/totalw</f>
        <v>0.0859106529209622</v>
      </c>
      <c r="E553" s="522">
        <f>C553/(totalw-q18nw)</f>
        <v>0.08710801393728224</v>
      </c>
      <c r="F553" s="495">
        <v>8</v>
      </c>
      <c r="G553" s="496">
        <f aca="true" t="shared" si="84" ref="G553:G558">F553/totalb</f>
        <v>0.1951219512195122</v>
      </c>
      <c r="H553" s="522">
        <f>F553/(totalb-q18nb)</f>
        <v>0.1951219512195122</v>
      </c>
      <c r="I553" s="495">
        <v>1</v>
      </c>
      <c r="J553" s="496">
        <f aca="true" t="shared" si="85" ref="J553:J558">I553/totalo</f>
        <v>0.045454545454545456</v>
      </c>
      <c r="K553" s="522">
        <f>I553/(totalo-q18no)</f>
        <v>0.047619047619047616</v>
      </c>
    </row>
    <row r="554" spans="1:11" ht="11.25">
      <c r="A554" s="482"/>
      <c r="B554" s="518" t="s">
        <v>271</v>
      </c>
      <c r="C554" s="467">
        <v>217</v>
      </c>
      <c r="D554" s="496">
        <f t="shared" si="83"/>
        <v>0.37285223367697595</v>
      </c>
      <c r="E554" s="522">
        <f>C554/(totalw-q18nw)</f>
        <v>0.3780487804878049</v>
      </c>
      <c r="F554" s="495">
        <v>13</v>
      </c>
      <c r="G554" s="496">
        <f t="shared" si="84"/>
        <v>0.3170731707317073</v>
      </c>
      <c r="H554" s="522">
        <f>F554/(totalb-q18nb)</f>
        <v>0.3170731707317073</v>
      </c>
      <c r="I554" s="495">
        <v>8</v>
      </c>
      <c r="J554" s="496">
        <f t="shared" si="85"/>
        <v>0.36363636363636365</v>
      </c>
      <c r="K554" s="522">
        <f>I554/(totalo-q18no)</f>
        <v>0.38095238095238093</v>
      </c>
    </row>
    <row r="555" spans="1:11" ht="11.25">
      <c r="A555" s="482"/>
      <c r="B555" s="518" t="s">
        <v>272</v>
      </c>
      <c r="C555" s="467">
        <v>264</v>
      </c>
      <c r="D555" s="496">
        <f t="shared" si="83"/>
        <v>0.4536082474226804</v>
      </c>
      <c r="E555" s="522">
        <f>C555/(totalw-q18nw)</f>
        <v>0.45993031358885017</v>
      </c>
      <c r="F555" s="495">
        <v>18</v>
      </c>
      <c r="G555" s="496">
        <f t="shared" si="84"/>
        <v>0.43902439024390244</v>
      </c>
      <c r="H555" s="522">
        <f>F555/(totalb-q18nb)</f>
        <v>0.43902439024390244</v>
      </c>
      <c r="I555" s="495">
        <v>10</v>
      </c>
      <c r="J555" s="496">
        <f t="shared" si="85"/>
        <v>0.45454545454545453</v>
      </c>
      <c r="K555" s="522">
        <f>I555/(totalo-q18no)</f>
        <v>0.47619047619047616</v>
      </c>
    </row>
    <row r="556" spans="1:11" ht="11.25">
      <c r="A556" s="482"/>
      <c r="B556" s="518" t="s">
        <v>273</v>
      </c>
      <c r="C556" s="467">
        <v>39</v>
      </c>
      <c r="D556" s="496">
        <f t="shared" si="83"/>
        <v>0.06701030927835051</v>
      </c>
      <c r="E556" s="522">
        <f>C556/(totalw-q18nw)</f>
        <v>0.06794425087108014</v>
      </c>
      <c r="F556" s="495">
        <v>1</v>
      </c>
      <c r="G556" s="496">
        <f t="shared" si="84"/>
        <v>0.024390243902439025</v>
      </c>
      <c r="H556" s="522">
        <f>F556/(totalb-q18nb)</f>
        <v>0.024390243902439025</v>
      </c>
      <c r="I556" s="495">
        <v>2</v>
      </c>
      <c r="J556" s="496">
        <f t="shared" si="85"/>
        <v>0.09090909090909091</v>
      </c>
      <c r="K556" s="522">
        <f>I556/(totalo-q18no)</f>
        <v>0.09523809523809523</v>
      </c>
    </row>
    <row r="557" spans="1:11" ht="11.25">
      <c r="A557" s="482"/>
      <c r="B557" s="518" t="s">
        <v>274</v>
      </c>
      <c r="C557" s="467">
        <v>4</v>
      </c>
      <c r="D557" s="496">
        <f t="shared" si="83"/>
        <v>0.006872852233676976</v>
      </c>
      <c r="E557" s="522">
        <f>C557/(totalw-q18nw)</f>
        <v>0.006968641114982578</v>
      </c>
      <c r="F557" s="495">
        <v>1</v>
      </c>
      <c r="G557" s="496">
        <f t="shared" si="84"/>
        <v>0.024390243902439025</v>
      </c>
      <c r="H557" s="522">
        <f>F557/(totalb-q18nb)</f>
        <v>0.024390243902439025</v>
      </c>
      <c r="I557" s="495">
        <v>0</v>
      </c>
      <c r="J557" s="496">
        <f t="shared" si="85"/>
        <v>0</v>
      </c>
      <c r="K557" s="522">
        <f>I557/(totalo-q18no)</f>
        <v>0</v>
      </c>
    </row>
    <row r="558" spans="1:11" ht="11.25">
      <c r="A558" s="485"/>
      <c r="B558" s="472" t="s">
        <v>18</v>
      </c>
      <c r="C558" s="471">
        <v>8</v>
      </c>
      <c r="D558" s="512">
        <f t="shared" si="83"/>
        <v>0.013745704467353952</v>
      </c>
      <c r="E558" s="507" t="s">
        <v>19</v>
      </c>
      <c r="F558" s="511">
        <v>0</v>
      </c>
      <c r="G558" s="512">
        <f t="shared" si="84"/>
        <v>0</v>
      </c>
      <c r="H558" s="513" t="s">
        <v>19</v>
      </c>
      <c r="I558" s="511">
        <v>1</v>
      </c>
      <c r="J558" s="512">
        <f t="shared" si="85"/>
        <v>0.045454545454545456</v>
      </c>
      <c r="K558" s="513" t="s">
        <v>19</v>
      </c>
    </row>
    <row r="559" spans="1:11" ht="11.25">
      <c r="A559" s="514" t="s">
        <v>393</v>
      </c>
      <c r="B559" s="515" t="s">
        <v>394</v>
      </c>
      <c r="C559" s="461"/>
      <c r="D559" s="516"/>
      <c r="E559" s="521"/>
      <c r="F559" s="461"/>
      <c r="G559" s="516"/>
      <c r="H559" s="521"/>
      <c r="I559" s="461"/>
      <c r="J559" s="516"/>
      <c r="K559" s="521"/>
    </row>
    <row r="560" spans="1:11" ht="10.5" customHeight="1">
      <c r="A560" s="497" t="s">
        <v>343</v>
      </c>
      <c r="B560" s="518" t="s">
        <v>395</v>
      </c>
      <c r="C560" s="467"/>
      <c r="D560" s="496"/>
      <c r="E560" s="484"/>
      <c r="F560" s="467"/>
      <c r="G560" s="496"/>
      <c r="H560" s="484"/>
      <c r="I560" s="467"/>
      <c r="J560" s="496"/>
      <c r="K560" s="484"/>
    </row>
    <row r="561" spans="1:11" ht="10.5" customHeight="1">
      <c r="A561" s="482"/>
      <c r="B561" s="518" t="s">
        <v>396</v>
      </c>
      <c r="C561" s="467">
        <v>157</v>
      </c>
      <c r="D561" s="496">
        <f>C561/totalw</f>
        <v>0.2697594501718213</v>
      </c>
      <c r="E561" s="522">
        <f>C561/(totalw-q19anw)</f>
        <v>0.27304347826086955</v>
      </c>
      <c r="F561" s="467">
        <v>10</v>
      </c>
      <c r="G561" s="496">
        <f>F561/totalb</f>
        <v>0.24390243902439024</v>
      </c>
      <c r="H561" s="522">
        <f>F561/(totalb-q19anb)</f>
        <v>0.2564102564102564</v>
      </c>
      <c r="I561" s="467">
        <v>7</v>
      </c>
      <c r="J561" s="496">
        <f>I561/totalo</f>
        <v>0.3181818181818182</v>
      </c>
      <c r="K561" s="522">
        <f>I561/(totalo-q19ano)</f>
        <v>0.35</v>
      </c>
    </row>
    <row r="562" spans="1:11" ht="10.5" customHeight="1">
      <c r="A562" s="482"/>
      <c r="B562" s="518" t="s">
        <v>397</v>
      </c>
      <c r="C562" s="467">
        <v>203</v>
      </c>
      <c r="D562" s="496">
        <f>C562/totalw</f>
        <v>0.3487972508591065</v>
      </c>
      <c r="E562" s="522">
        <f>C562/(totalw-q19anw)</f>
        <v>0.35304347826086957</v>
      </c>
      <c r="F562" s="467">
        <v>14</v>
      </c>
      <c r="G562" s="496">
        <f>F562/totalb</f>
        <v>0.34146341463414637</v>
      </c>
      <c r="H562" s="522">
        <f>F562/(totalb-q19anb)</f>
        <v>0.358974358974359</v>
      </c>
      <c r="I562" s="467">
        <v>5</v>
      </c>
      <c r="J562" s="496">
        <f>I562/totalo</f>
        <v>0.22727272727272727</v>
      </c>
      <c r="K562" s="522">
        <f>I562/(totalo-q19ano)</f>
        <v>0.25</v>
      </c>
    </row>
    <row r="563" spans="1:11" ht="10.5" customHeight="1">
      <c r="A563" s="482"/>
      <c r="B563" s="518" t="s">
        <v>398</v>
      </c>
      <c r="C563" s="467">
        <v>215</v>
      </c>
      <c r="D563" s="496">
        <f>C563/totalw</f>
        <v>0.3694158075601375</v>
      </c>
      <c r="E563" s="522">
        <f>C563/(totalw-q19anw)</f>
        <v>0.3739130434782609</v>
      </c>
      <c r="F563" s="467">
        <v>15</v>
      </c>
      <c r="G563" s="496">
        <f>F563/totalb</f>
        <v>0.36585365853658536</v>
      </c>
      <c r="H563" s="522">
        <f>F563/(totalb-q19anb)</f>
        <v>0.38461538461538464</v>
      </c>
      <c r="I563" s="467">
        <v>8</v>
      </c>
      <c r="J563" s="496">
        <f>I563/totalo</f>
        <v>0.36363636363636365</v>
      </c>
      <c r="K563" s="522">
        <f>I563/(totalo-q19ano)</f>
        <v>0.4</v>
      </c>
    </row>
    <row r="564" spans="1:11" ht="10.5" customHeight="1">
      <c r="A564" s="499"/>
      <c r="B564" s="523" t="s">
        <v>18</v>
      </c>
      <c r="C564" s="500">
        <v>7</v>
      </c>
      <c r="D564" s="502">
        <f>C564/totalw</f>
        <v>0.012027491408934709</v>
      </c>
      <c r="E564" s="507" t="s">
        <v>19</v>
      </c>
      <c r="F564" s="500">
        <v>2</v>
      </c>
      <c r="G564" s="502">
        <f>F564/totalb</f>
        <v>0.04878048780487805</v>
      </c>
      <c r="H564" s="507" t="s">
        <v>19</v>
      </c>
      <c r="I564" s="500">
        <v>2</v>
      </c>
      <c r="J564" s="502">
        <f>I564/totalo</f>
        <v>0.09090909090909091</v>
      </c>
      <c r="K564" s="507" t="s">
        <v>19</v>
      </c>
    </row>
    <row r="565" spans="1:11" ht="11.25">
      <c r="A565" s="497" t="s">
        <v>350</v>
      </c>
      <c r="B565" s="518" t="s">
        <v>399</v>
      </c>
      <c r="C565" s="467" t="s">
        <v>20</v>
      </c>
      <c r="D565" s="496"/>
      <c r="E565" s="524"/>
      <c r="F565" s="467"/>
      <c r="G565" s="496"/>
      <c r="H565" s="524"/>
      <c r="I565" s="467"/>
      <c r="J565" s="496"/>
      <c r="K565" s="524"/>
    </row>
    <row r="566" spans="1:11" ht="10.5" customHeight="1">
      <c r="A566" s="482"/>
      <c r="B566" s="518" t="s">
        <v>396</v>
      </c>
      <c r="C566" s="467">
        <v>117</v>
      </c>
      <c r="D566" s="496">
        <f>C566/totalw</f>
        <v>0.20103092783505155</v>
      </c>
      <c r="E566" s="522">
        <f>C566/(totalw-q19bnw)</f>
        <v>0.203125</v>
      </c>
      <c r="F566" s="467">
        <v>7</v>
      </c>
      <c r="G566" s="496">
        <f>F566/totalb</f>
        <v>0.17073170731707318</v>
      </c>
      <c r="H566" s="522">
        <f>F566/(totalb-q19bnb)</f>
        <v>0.175</v>
      </c>
      <c r="I566" s="467">
        <v>6</v>
      </c>
      <c r="J566" s="496">
        <f>I566/totalo</f>
        <v>0.2727272727272727</v>
      </c>
      <c r="K566" s="522">
        <f>I566/(totalo-q19bno)</f>
        <v>0.3</v>
      </c>
    </row>
    <row r="567" spans="1:11" ht="10.5" customHeight="1">
      <c r="A567" s="482"/>
      <c r="B567" s="518" t="s">
        <v>397</v>
      </c>
      <c r="C567" s="467">
        <v>197</v>
      </c>
      <c r="D567" s="496">
        <f>C567/totalw</f>
        <v>0.3384879725085911</v>
      </c>
      <c r="E567" s="522">
        <f>C567/(totalw-q19bnw)</f>
        <v>0.3420138888888889</v>
      </c>
      <c r="F567" s="467">
        <v>20</v>
      </c>
      <c r="G567" s="496">
        <f>F567/totalb</f>
        <v>0.4878048780487805</v>
      </c>
      <c r="H567" s="522">
        <f>F567/(totalb-q19bnb)</f>
        <v>0.5</v>
      </c>
      <c r="I567" s="467">
        <v>5</v>
      </c>
      <c r="J567" s="496">
        <f>I567/totalo</f>
        <v>0.22727272727272727</v>
      </c>
      <c r="K567" s="522">
        <f>I567/(totalo-q19bno)</f>
        <v>0.25</v>
      </c>
    </row>
    <row r="568" spans="1:11" ht="10.5" customHeight="1">
      <c r="A568" s="482"/>
      <c r="B568" s="518" t="s">
        <v>398</v>
      </c>
      <c r="C568" s="467">
        <v>262</v>
      </c>
      <c r="D568" s="496">
        <f>C568/totalw</f>
        <v>0.45017182130584193</v>
      </c>
      <c r="E568" s="522">
        <f>C568/(totalw-q19bnw)</f>
        <v>0.4548611111111111</v>
      </c>
      <c r="F568" s="467">
        <v>13</v>
      </c>
      <c r="G568" s="496">
        <f>F568/totalb</f>
        <v>0.3170731707317073</v>
      </c>
      <c r="H568" s="522">
        <f>F568/(totalb-q19bnb)</f>
        <v>0.325</v>
      </c>
      <c r="I568" s="467">
        <v>9</v>
      </c>
      <c r="J568" s="496">
        <f>I568/totalo</f>
        <v>0.4090909090909091</v>
      </c>
      <c r="K568" s="522">
        <f>I568/(totalo-q19bno)</f>
        <v>0.45</v>
      </c>
    </row>
    <row r="569" spans="1:11" ht="10.5" customHeight="1">
      <c r="A569" s="499"/>
      <c r="B569" s="523" t="s">
        <v>18</v>
      </c>
      <c r="C569" s="500">
        <v>6</v>
      </c>
      <c r="D569" s="502">
        <f>C569/totalw</f>
        <v>0.010309278350515464</v>
      </c>
      <c r="E569" s="507" t="s">
        <v>19</v>
      </c>
      <c r="F569" s="500">
        <v>1</v>
      </c>
      <c r="G569" s="502">
        <f>F569/totalb</f>
        <v>0.024390243902439025</v>
      </c>
      <c r="H569" s="507" t="s">
        <v>19</v>
      </c>
      <c r="I569" s="500">
        <v>2</v>
      </c>
      <c r="J569" s="502">
        <f>I569/totalo</f>
        <v>0.09090909090909091</v>
      </c>
      <c r="K569" s="507" t="s">
        <v>19</v>
      </c>
    </row>
    <row r="570" spans="1:11" ht="11.25">
      <c r="A570" s="553" t="s">
        <v>415</v>
      </c>
      <c r="B570" s="554"/>
      <c r="C570" s="554"/>
      <c r="D570" s="555"/>
      <c r="E570" s="555"/>
      <c r="F570" s="554"/>
      <c r="G570" s="555"/>
      <c r="H570" s="555"/>
      <c r="I570" s="554"/>
      <c r="J570" s="555"/>
      <c r="K570" s="556"/>
    </row>
    <row r="571" spans="1:11" ht="0.75" customHeight="1">
      <c r="A571" s="482"/>
      <c r="B571" s="465"/>
      <c r="C571" s="465"/>
      <c r="D571" s="505"/>
      <c r="E571" s="505"/>
      <c r="F571" s="465"/>
      <c r="G571" s="505"/>
      <c r="H571" s="505"/>
      <c r="I571" s="465"/>
      <c r="J571" s="505"/>
      <c r="K571" s="537"/>
    </row>
    <row r="572" spans="1:11" ht="12.75">
      <c r="A572" s="458" t="s">
        <v>337</v>
      </c>
      <c r="B572" s="459"/>
      <c r="C572" s="460"/>
      <c r="D572" s="460"/>
      <c r="E572" s="460"/>
      <c r="F572" s="461"/>
      <c r="G572" s="461"/>
      <c r="H572" s="461"/>
      <c r="I572" s="461"/>
      <c r="J572" s="461"/>
      <c r="K572" s="462" t="s">
        <v>420</v>
      </c>
    </row>
    <row r="573" spans="1:11" ht="12.75">
      <c r="A573" s="464" t="s">
        <v>313</v>
      </c>
      <c r="B573" s="465"/>
      <c r="C573" s="466"/>
      <c r="D573" s="466"/>
      <c r="E573" s="466"/>
      <c r="F573" s="467"/>
      <c r="G573" s="467"/>
      <c r="H573" s="467"/>
      <c r="I573" s="467"/>
      <c r="J573" s="467"/>
      <c r="K573" s="468"/>
    </row>
    <row r="574" spans="1:11" ht="12.75">
      <c r="A574" s="6" t="s">
        <v>339</v>
      </c>
      <c r="B574" s="465"/>
      <c r="C574" s="466"/>
      <c r="D574" s="466"/>
      <c r="E574" s="466"/>
      <c r="F574" s="467"/>
      <c r="G574" s="467"/>
      <c r="H574" s="467"/>
      <c r="I574" s="467"/>
      <c r="J574" s="467"/>
      <c r="K574" s="468"/>
    </row>
    <row r="575" spans="1:15" ht="12.75">
      <c r="A575" s="469" t="s">
        <v>340</v>
      </c>
      <c r="B575" s="470"/>
      <c r="C575" s="470"/>
      <c r="D575" s="470"/>
      <c r="E575" s="470"/>
      <c r="F575" s="470"/>
      <c r="G575" s="470"/>
      <c r="H575" s="471"/>
      <c r="I575" s="471"/>
      <c r="J575" s="471"/>
      <c r="K575" s="472"/>
      <c r="L575" s="473"/>
      <c r="M575" s="474"/>
      <c r="N575" s="473"/>
      <c r="O575" s="473"/>
    </row>
    <row r="576" spans="1:11" ht="17.25" customHeight="1">
      <c r="A576" s="478"/>
      <c r="B576" s="476"/>
      <c r="C576" s="525" t="s">
        <v>185</v>
      </c>
      <c r="D576" s="526"/>
      <c r="E576" s="541"/>
      <c r="F576" s="525" t="s">
        <v>186</v>
      </c>
      <c r="G576" s="526"/>
      <c r="H576" s="541"/>
      <c r="I576" s="525" t="s">
        <v>187</v>
      </c>
      <c r="J576" s="526"/>
      <c r="K576" s="541"/>
    </row>
    <row r="577" spans="1:12" ht="11.25">
      <c r="A577" s="482"/>
      <c r="B577" s="468"/>
      <c r="C577" s="497"/>
      <c r="D577" s="530" t="s">
        <v>5</v>
      </c>
      <c r="E577" s="542" t="s">
        <v>5</v>
      </c>
      <c r="F577" s="497"/>
      <c r="G577" s="530" t="s">
        <v>5</v>
      </c>
      <c r="H577" s="542" t="s">
        <v>5</v>
      </c>
      <c r="I577" s="497"/>
      <c r="J577" s="530" t="s">
        <v>5</v>
      </c>
      <c r="K577" s="542" t="s">
        <v>5</v>
      </c>
      <c r="L577" s="546"/>
    </row>
    <row r="578" spans="1:12" ht="11.25" customHeight="1">
      <c r="A578" s="480"/>
      <c r="B578" s="481" t="s">
        <v>417</v>
      </c>
      <c r="C578" s="497"/>
      <c r="D578" s="530" t="s">
        <v>7</v>
      </c>
      <c r="E578" s="542" t="s">
        <v>8</v>
      </c>
      <c r="F578" s="497"/>
      <c r="G578" s="530" t="s">
        <v>7</v>
      </c>
      <c r="H578" s="542" t="s">
        <v>8</v>
      </c>
      <c r="I578" s="497"/>
      <c r="J578" s="530" t="s">
        <v>7</v>
      </c>
      <c r="K578" s="542" t="s">
        <v>8</v>
      </c>
      <c r="L578" s="546"/>
    </row>
    <row r="579" spans="1:12" ht="11.25">
      <c r="A579" s="485"/>
      <c r="B579" s="486"/>
      <c r="C579" s="531" t="s">
        <v>9</v>
      </c>
      <c r="D579" s="532" t="s">
        <v>10</v>
      </c>
      <c r="E579" s="543" t="s">
        <v>10</v>
      </c>
      <c r="F579" s="531" t="s">
        <v>9</v>
      </c>
      <c r="G579" s="532" t="s">
        <v>10</v>
      </c>
      <c r="H579" s="543" t="s">
        <v>10</v>
      </c>
      <c r="I579" s="531" t="s">
        <v>9</v>
      </c>
      <c r="J579" s="532" t="s">
        <v>10</v>
      </c>
      <c r="K579" s="543" t="s">
        <v>10</v>
      </c>
      <c r="L579" s="547"/>
    </row>
    <row r="580" spans="1:11" ht="11.25">
      <c r="A580" s="497" t="s">
        <v>352</v>
      </c>
      <c r="B580" s="518" t="s">
        <v>400</v>
      </c>
      <c r="C580" s="467"/>
      <c r="D580" s="496"/>
      <c r="E580" s="524"/>
      <c r="F580" s="467"/>
      <c r="G580" s="496"/>
      <c r="H580" s="524"/>
      <c r="I580" s="467"/>
      <c r="J580" s="496"/>
      <c r="K580" s="484"/>
    </row>
    <row r="581" spans="1:11" ht="11.25">
      <c r="A581" s="482"/>
      <c r="B581" s="518" t="s">
        <v>396</v>
      </c>
      <c r="C581" s="467">
        <v>198</v>
      </c>
      <c r="D581" s="496">
        <f>C581/totalw</f>
        <v>0.3402061855670103</v>
      </c>
      <c r="E581" s="522">
        <f>C581/(totalw-q19cnw)</f>
        <v>0.34375</v>
      </c>
      <c r="F581" s="467">
        <v>17</v>
      </c>
      <c r="G581" s="496">
        <f>F581/totalb</f>
        <v>0.4146341463414634</v>
      </c>
      <c r="H581" s="522">
        <f>F581/(totalb-q19cnb)</f>
        <v>0.4146341463414634</v>
      </c>
      <c r="I581" s="467">
        <v>7</v>
      </c>
      <c r="J581" s="496">
        <f>I581/totalo</f>
        <v>0.3181818181818182</v>
      </c>
      <c r="K581" s="522">
        <f>I581/(totalo-q19cno)</f>
        <v>0.35</v>
      </c>
    </row>
    <row r="582" spans="1:11" ht="11.25">
      <c r="A582" s="482"/>
      <c r="B582" s="518" t="s">
        <v>397</v>
      </c>
      <c r="C582" s="467">
        <v>173</v>
      </c>
      <c r="D582" s="496">
        <f>C582/totalw</f>
        <v>0.2972508591065292</v>
      </c>
      <c r="E582" s="522">
        <f>C582/(totalw-q19cnw)</f>
        <v>0.3003472222222222</v>
      </c>
      <c r="F582" s="467">
        <v>12</v>
      </c>
      <c r="G582" s="496">
        <f>F582/totalb</f>
        <v>0.2926829268292683</v>
      </c>
      <c r="H582" s="522">
        <f>F582/(totalb-q19cnb)</f>
        <v>0.2926829268292683</v>
      </c>
      <c r="I582" s="467">
        <v>4</v>
      </c>
      <c r="J582" s="496">
        <f>I582/totalo</f>
        <v>0.18181818181818182</v>
      </c>
      <c r="K582" s="522">
        <f>I582/(totalo-q19cno)</f>
        <v>0.2</v>
      </c>
    </row>
    <row r="583" spans="1:11" ht="11.25">
      <c r="A583" s="482"/>
      <c r="B583" s="518" t="s">
        <v>398</v>
      </c>
      <c r="C583" s="467">
        <v>205</v>
      </c>
      <c r="D583" s="496">
        <f>C583/totalw</f>
        <v>0.35223367697594504</v>
      </c>
      <c r="E583" s="522">
        <f>C583/(totalw-q19cnw)</f>
        <v>0.3559027777777778</v>
      </c>
      <c r="F583" s="467">
        <v>12</v>
      </c>
      <c r="G583" s="496">
        <f>F583/totalb</f>
        <v>0.2926829268292683</v>
      </c>
      <c r="H583" s="522">
        <f>F583/(totalb-q19cnb)</f>
        <v>0.2926829268292683</v>
      </c>
      <c r="I583" s="467">
        <v>9</v>
      </c>
      <c r="J583" s="496">
        <f>I583/totalo</f>
        <v>0.4090909090909091</v>
      </c>
      <c r="K583" s="522">
        <f>I583/(totalo-q19cno)</f>
        <v>0.45</v>
      </c>
    </row>
    <row r="584" spans="1:11" ht="11.25">
      <c r="A584" s="499"/>
      <c r="B584" s="523" t="s">
        <v>18</v>
      </c>
      <c r="C584" s="500">
        <v>6</v>
      </c>
      <c r="D584" s="502">
        <f>C584/totalw</f>
        <v>0.010309278350515464</v>
      </c>
      <c r="E584" s="507" t="s">
        <v>19</v>
      </c>
      <c r="F584" s="500">
        <v>0</v>
      </c>
      <c r="G584" s="502">
        <f>F584/totalb</f>
        <v>0</v>
      </c>
      <c r="H584" s="507" t="s">
        <v>19</v>
      </c>
      <c r="I584" s="500">
        <v>2</v>
      </c>
      <c r="J584" s="502">
        <f>I584/totalo</f>
        <v>0.09090909090909091</v>
      </c>
      <c r="K584" s="507" t="s">
        <v>19</v>
      </c>
    </row>
    <row r="585" spans="1:11" ht="11.25">
      <c r="A585" s="497" t="s">
        <v>355</v>
      </c>
      <c r="B585" s="518" t="s">
        <v>401</v>
      </c>
      <c r="C585" s="467"/>
      <c r="D585" s="496"/>
      <c r="E585" s="524"/>
      <c r="F585" s="467"/>
      <c r="G585" s="496"/>
      <c r="H585" s="521"/>
      <c r="I585" s="467"/>
      <c r="J585" s="496"/>
      <c r="K585" s="521"/>
    </row>
    <row r="586" spans="1:11" ht="11.25">
      <c r="A586" s="482"/>
      <c r="B586" s="518" t="s">
        <v>396</v>
      </c>
      <c r="C586" s="467">
        <v>156</v>
      </c>
      <c r="D586" s="496">
        <f>C586/totalw</f>
        <v>0.26804123711340205</v>
      </c>
      <c r="E586" s="522">
        <f>C586/(totalw-q19dnw)</f>
        <v>0.2708333333333333</v>
      </c>
      <c r="F586" s="467">
        <v>13</v>
      </c>
      <c r="G586" s="496">
        <f>F586/totalb</f>
        <v>0.3170731707317073</v>
      </c>
      <c r="H586" s="522">
        <f>F586/(totalb-q19dnb)</f>
        <v>0.3170731707317073</v>
      </c>
      <c r="I586" s="467">
        <v>4</v>
      </c>
      <c r="J586" s="496">
        <f>I586/totalo</f>
        <v>0.18181818181818182</v>
      </c>
      <c r="K586" s="522">
        <f>I586/(totalo-q19dno)</f>
        <v>0.19047619047619047</v>
      </c>
    </row>
    <row r="587" spans="1:11" ht="11.25">
      <c r="A587" s="482"/>
      <c r="B587" s="518" t="s">
        <v>397</v>
      </c>
      <c r="C587" s="467">
        <v>189</v>
      </c>
      <c r="D587" s="496">
        <f>C587/totalw</f>
        <v>0.3247422680412371</v>
      </c>
      <c r="E587" s="522">
        <f>C587/(totalw-q19dnw)</f>
        <v>0.328125</v>
      </c>
      <c r="F587" s="467">
        <v>14</v>
      </c>
      <c r="G587" s="496">
        <f>F587/totalb</f>
        <v>0.34146341463414637</v>
      </c>
      <c r="H587" s="522">
        <f>F587/(totalb-q19dnb)</f>
        <v>0.34146341463414637</v>
      </c>
      <c r="I587" s="467">
        <v>5</v>
      </c>
      <c r="J587" s="496">
        <f>I587/totalo</f>
        <v>0.22727272727272727</v>
      </c>
      <c r="K587" s="522">
        <f>I587/(totalo-q19dno)</f>
        <v>0.23809523809523808</v>
      </c>
    </row>
    <row r="588" spans="1:11" ht="11.25">
      <c r="A588" s="482"/>
      <c r="B588" s="518" t="s">
        <v>398</v>
      </c>
      <c r="C588" s="467">
        <v>231</v>
      </c>
      <c r="D588" s="496">
        <f>C588/totalw</f>
        <v>0.39690721649484534</v>
      </c>
      <c r="E588" s="522">
        <f>C588/(totalw-q19dnw)</f>
        <v>0.4010416666666667</v>
      </c>
      <c r="F588" s="467">
        <v>14</v>
      </c>
      <c r="G588" s="496">
        <f>F588/totalb</f>
        <v>0.34146341463414637</v>
      </c>
      <c r="H588" s="522">
        <f>F588/(totalb-q19dnb)</f>
        <v>0.34146341463414637</v>
      </c>
      <c r="I588" s="467">
        <v>12</v>
      </c>
      <c r="J588" s="496">
        <f>I588/totalo</f>
        <v>0.5454545454545454</v>
      </c>
      <c r="K588" s="522">
        <f>I588/(totalo-q19dno)</f>
        <v>0.5714285714285714</v>
      </c>
    </row>
    <row r="589" spans="1:11" ht="11.25">
      <c r="A589" s="499"/>
      <c r="B589" s="523" t="s">
        <v>18</v>
      </c>
      <c r="C589" s="500">
        <v>6</v>
      </c>
      <c r="D589" s="502">
        <f>C589/totalw</f>
        <v>0.010309278350515464</v>
      </c>
      <c r="E589" s="507" t="s">
        <v>19</v>
      </c>
      <c r="F589" s="500">
        <v>0</v>
      </c>
      <c r="G589" s="502">
        <f>F589/totalb</f>
        <v>0</v>
      </c>
      <c r="H589" s="507" t="s">
        <v>19</v>
      </c>
      <c r="I589" s="500">
        <v>1</v>
      </c>
      <c r="J589" s="502">
        <f>I589/totalo</f>
        <v>0.045454545454545456</v>
      </c>
      <c r="K589" s="507" t="s">
        <v>19</v>
      </c>
    </row>
    <row r="590" spans="1:11" ht="11.25">
      <c r="A590" s="497" t="s">
        <v>357</v>
      </c>
      <c r="B590" s="518" t="s">
        <v>402</v>
      </c>
      <c r="C590" s="467"/>
      <c r="D590" s="496"/>
      <c r="E590" s="524"/>
      <c r="F590" s="467"/>
      <c r="G590" s="496"/>
      <c r="H590" s="524"/>
      <c r="I590" s="467"/>
      <c r="J590" s="496"/>
      <c r="K590" s="524"/>
    </row>
    <row r="591" spans="1:11" ht="11.25">
      <c r="A591" s="482"/>
      <c r="B591" s="518" t="s">
        <v>396</v>
      </c>
      <c r="C591" s="467">
        <v>208</v>
      </c>
      <c r="D591" s="496">
        <f>C591/totalw</f>
        <v>0.35738831615120276</v>
      </c>
      <c r="E591" s="522">
        <f>C591/(totalw-q19enw)</f>
        <v>0.3611111111111111</v>
      </c>
      <c r="F591" s="467">
        <v>14</v>
      </c>
      <c r="G591" s="496">
        <f>F591/totalb</f>
        <v>0.34146341463414637</v>
      </c>
      <c r="H591" s="522">
        <f>F591/(totalb-q19enb)</f>
        <v>0.34146341463414637</v>
      </c>
      <c r="I591" s="467">
        <v>6</v>
      </c>
      <c r="J591" s="496">
        <f>I591/totalo</f>
        <v>0.2727272727272727</v>
      </c>
      <c r="K591" s="522">
        <f>I591/(totalo-q19eno)</f>
        <v>0.2857142857142857</v>
      </c>
    </row>
    <row r="592" spans="1:11" ht="11.25">
      <c r="A592" s="482"/>
      <c r="B592" s="518" t="s">
        <v>397</v>
      </c>
      <c r="C592" s="467">
        <v>213</v>
      </c>
      <c r="D592" s="496">
        <f>C592/totalw</f>
        <v>0.36597938144329895</v>
      </c>
      <c r="E592" s="522">
        <f>C592/(totalw-q19enw)</f>
        <v>0.3697916666666667</v>
      </c>
      <c r="F592" s="467">
        <v>18</v>
      </c>
      <c r="G592" s="496">
        <f>F592/totalb</f>
        <v>0.43902439024390244</v>
      </c>
      <c r="H592" s="522">
        <f>F592/(totalb-q19enb)</f>
        <v>0.43902439024390244</v>
      </c>
      <c r="I592" s="467">
        <v>6</v>
      </c>
      <c r="J592" s="496">
        <f>I592/totalo</f>
        <v>0.2727272727272727</v>
      </c>
      <c r="K592" s="522">
        <f>I592/(totalo-q19eno)</f>
        <v>0.2857142857142857</v>
      </c>
    </row>
    <row r="593" spans="1:11" ht="11.25">
      <c r="A593" s="482"/>
      <c r="B593" s="518" t="s">
        <v>398</v>
      </c>
      <c r="C593" s="467">
        <v>155</v>
      </c>
      <c r="D593" s="496">
        <f>C593/totalw</f>
        <v>0.2663230240549828</v>
      </c>
      <c r="E593" s="522">
        <f>C593/(totalw-q19enw)</f>
        <v>0.2690972222222222</v>
      </c>
      <c r="F593" s="467">
        <v>9</v>
      </c>
      <c r="G593" s="496">
        <f>F593/totalb</f>
        <v>0.21951219512195122</v>
      </c>
      <c r="H593" s="522">
        <f>F593/(totalb-q19enb)</f>
        <v>0.21951219512195122</v>
      </c>
      <c r="I593" s="467">
        <v>9</v>
      </c>
      <c r="J593" s="496">
        <f>I593/totalo</f>
        <v>0.4090909090909091</v>
      </c>
      <c r="K593" s="522">
        <f>I593/(totalo-q19eno)</f>
        <v>0.42857142857142855</v>
      </c>
    </row>
    <row r="594" spans="1:11" ht="11.25">
      <c r="A594" s="499"/>
      <c r="B594" s="523" t="s">
        <v>18</v>
      </c>
      <c r="C594" s="500">
        <v>6</v>
      </c>
      <c r="D594" s="502">
        <f>C594/totalw</f>
        <v>0.010309278350515464</v>
      </c>
      <c r="E594" s="507" t="s">
        <v>19</v>
      </c>
      <c r="F594" s="500">
        <v>0</v>
      </c>
      <c r="G594" s="502">
        <f>F594/totalb</f>
        <v>0</v>
      </c>
      <c r="H594" s="507" t="s">
        <v>19</v>
      </c>
      <c r="I594" s="500">
        <v>1</v>
      </c>
      <c r="J594" s="502">
        <f>I594/totalo</f>
        <v>0.045454545454545456</v>
      </c>
      <c r="K594" s="507" t="s">
        <v>19</v>
      </c>
    </row>
    <row r="595" spans="1:11" ht="11.25">
      <c r="A595" s="497" t="s">
        <v>361</v>
      </c>
      <c r="B595" s="518" t="s">
        <v>403</v>
      </c>
      <c r="C595" s="467"/>
      <c r="D595" s="496"/>
      <c r="E595" s="524"/>
      <c r="F595" s="467"/>
      <c r="G595" s="496"/>
      <c r="H595" s="524"/>
      <c r="I595" s="467"/>
      <c r="J595" s="496"/>
      <c r="K595" s="524"/>
    </row>
    <row r="596" spans="1:11" ht="11.25">
      <c r="A596" s="482"/>
      <c r="B596" s="518" t="s">
        <v>396</v>
      </c>
      <c r="C596" s="467">
        <v>40</v>
      </c>
      <c r="D596" s="496">
        <f>C596/totalw</f>
        <v>0.06872852233676977</v>
      </c>
      <c r="E596" s="522">
        <f>C596/(totalw-q19fnw)</f>
        <v>0.06956521739130435</v>
      </c>
      <c r="F596" s="467">
        <v>6</v>
      </c>
      <c r="G596" s="496">
        <f>F596/totalb</f>
        <v>0.14634146341463414</v>
      </c>
      <c r="H596" s="522">
        <f>F596/(totalb-q19fnb)</f>
        <v>0.14634146341463414</v>
      </c>
      <c r="I596" s="467">
        <v>1</v>
      </c>
      <c r="J596" s="496">
        <f>I596/totalo</f>
        <v>0.045454545454545456</v>
      </c>
      <c r="K596" s="522">
        <f>I596/(totalo-q19fno)</f>
        <v>0.05</v>
      </c>
    </row>
    <row r="597" spans="1:11" ht="11.25">
      <c r="A597" s="482"/>
      <c r="B597" s="518" t="s">
        <v>397</v>
      </c>
      <c r="C597" s="467">
        <v>99</v>
      </c>
      <c r="D597" s="496">
        <f>C597/totalw</f>
        <v>0.17010309278350516</v>
      </c>
      <c r="E597" s="522">
        <f>C597/(totalw-q19fnw)</f>
        <v>0.17217391304347826</v>
      </c>
      <c r="F597" s="467">
        <v>11</v>
      </c>
      <c r="G597" s="496">
        <f>F597/totalb</f>
        <v>0.2682926829268293</v>
      </c>
      <c r="H597" s="522">
        <f>F597/(totalb-q19fnb)</f>
        <v>0.2682926829268293</v>
      </c>
      <c r="I597" s="467">
        <v>3</v>
      </c>
      <c r="J597" s="496">
        <f>I597/totalo</f>
        <v>0.13636363636363635</v>
      </c>
      <c r="K597" s="522">
        <f>I597/(totalo-q19fno)</f>
        <v>0.15</v>
      </c>
    </row>
    <row r="598" spans="1:11" ht="11.25">
      <c r="A598" s="482"/>
      <c r="B598" s="518" t="s">
        <v>398</v>
      </c>
      <c r="C598" s="467">
        <v>436</v>
      </c>
      <c r="D598" s="496">
        <f>C598/totalw</f>
        <v>0.7491408934707904</v>
      </c>
      <c r="E598" s="522">
        <f>C598/(totalw-q19fnw)</f>
        <v>0.7582608695652174</v>
      </c>
      <c r="F598" s="467">
        <v>24</v>
      </c>
      <c r="G598" s="496">
        <f>F598/totalb</f>
        <v>0.5853658536585366</v>
      </c>
      <c r="H598" s="522">
        <f>F598/(totalb-q19fnb)</f>
        <v>0.5853658536585366</v>
      </c>
      <c r="I598" s="467">
        <v>16</v>
      </c>
      <c r="J598" s="496">
        <f>I598/totalo</f>
        <v>0.7272727272727273</v>
      </c>
      <c r="K598" s="522">
        <f>I598/(totalo-q19fno)</f>
        <v>0.8</v>
      </c>
    </row>
    <row r="599" spans="1:11" ht="11.25">
      <c r="A599" s="499"/>
      <c r="B599" s="523" t="s">
        <v>18</v>
      </c>
      <c r="C599" s="500">
        <v>7</v>
      </c>
      <c r="D599" s="502">
        <f>C599/totalw</f>
        <v>0.012027491408934709</v>
      </c>
      <c r="E599" s="507" t="s">
        <v>19</v>
      </c>
      <c r="F599" s="500">
        <v>0</v>
      </c>
      <c r="G599" s="502">
        <f>F599/totalb</f>
        <v>0</v>
      </c>
      <c r="H599" s="507" t="s">
        <v>19</v>
      </c>
      <c r="I599" s="500">
        <v>2</v>
      </c>
      <c r="J599" s="502">
        <f>I599/totalo</f>
        <v>0.09090909090909091</v>
      </c>
      <c r="K599" s="507" t="s">
        <v>19</v>
      </c>
    </row>
    <row r="600" spans="1:11" ht="11.25">
      <c r="A600" s="497" t="s">
        <v>363</v>
      </c>
      <c r="B600" s="518" t="s">
        <v>404</v>
      </c>
      <c r="C600" s="467"/>
      <c r="D600" s="496"/>
      <c r="E600" s="524"/>
      <c r="F600" s="467"/>
      <c r="G600" s="496"/>
      <c r="H600" s="524"/>
      <c r="I600" s="467"/>
      <c r="J600" s="496"/>
      <c r="K600" s="524"/>
    </row>
    <row r="601" spans="1:11" ht="11.25">
      <c r="A601" s="482"/>
      <c r="B601" s="518" t="s">
        <v>396</v>
      </c>
      <c r="C601" s="467">
        <v>160</v>
      </c>
      <c r="D601" s="496">
        <f>C601/totalw</f>
        <v>0.27491408934707906</v>
      </c>
      <c r="E601" s="522">
        <f>C601/(totalw-q19gnw)</f>
        <v>0.2777777777777778</v>
      </c>
      <c r="F601" s="467">
        <v>16</v>
      </c>
      <c r="G601" s="496">
        <f>F601/totalb</f>
        <v>0.3902439024390244</v>
      </c>
      <c r="H601" s="522">
        <f>F601/(totalb-q19gnb)</f>
        <v>0.3902439024390244</v>
      </c>
      <c r="I601" s="467">
        <v>3</v>
      </c>
      <c r="J601" s="496">
        <f>I601/totalo</f>
        <v>0.13636363636363635</v>
      </c>
      <c r="K601" s="522">
        <f>I601/(totalo-q19gno)</f>
        <v>0.14285714285714285</v>
      </c>
    </row>
    <row r="602" spans="1:11" ht="11.25">
      <c r="A602" s="482"/>
      <c r="B602" s="518" t="s">
        <v>397</v>
      </c>
      <c r="C602" s="467">
        <v>162</v>
      </c>
      <c r="D602" s="496">
        <f>C602/totalw</f>
        <v>0.27835051546391754</v>
      </c>
      <c r="E602" s="522">
        <f>C602/(totalw-q19gnw)</f>
        <v>0.28125</v>
      </c>
      <c r="F602" s="467">
        <v>15</v>
      </c>
      <c r="G602" s="496">
        <f>F602/totalb</f>
        <v>0.36585365853658536</v>
      </c>
      <c r="H602" s="522">
        <f>F602/(totalb-q19gnb)</f>
        <v>0.36585365853658536</v>
      </c>
      <c r="I602" s="467">
        <v>2</v>
      </c>
      <c r="J602" s="496">
        <f>I602/totalo</f>
        <v>0.09090909090909091</v>
      </c>
      <c r="K602" s="522">
        <f>I602/(totalo-q19gno)</f>
        <v>0.09523809523809523</v>
      </c>
    </row>
    <row r="603" spans="1:11" ht="11.25">
      <c r="A603" s="482"/>
      <c r="B603" s="518" t="s">
        <v>398</v>
      </c>
      <c r="C603" s="467">
        <v>254</v>
      </c>
      <c r="D603" s="496">
        <f>C603/totalw</f>
        <v>0.436426116838488</v>
      </c>
      <c r="E603" s="522">
        <f>C603/(totalw-q19gnw)</f>
        <v>0.4409722222222222</v>
      </c>
      <c r="F603" s="467">
        <v>10</v>
      </c>
      <c r="G603" s="496">
        <f>F603/totalb</f>
        <v>0.24390243902439024</v>
      </c>
      <c r="H603" s="522">
        <f>F603/(totalb-q19gnb)</f>
        <v>0.24390243902439024</v>
      </c>
      <c r="I603" s="467">
        <v>16</v>
      </c>
      <c r="J603" s="496">
        <f>I603/totalo</f>
        <v>0.7272727272727273</v>
      </c>
      <c r="K603" s="522">
        <f>I603/(totalo-q19gno)</f>
        <v>0.7619047619047619</v>
      </c>
    </row>
    <row r="604" spans="1:11" ht="11.25">
      <c r="A604" s="485"/>
      <c r="B604" s="472" t="s">
        <v>18</v>
      </c>
      <c r="C604" s="471">
        <v>6</v>
      </c>
      <c r="D604" s="512">
        <f>C604/totalw</f>
        <v>0.010309278350515464</v>
      </c>
      <c r="E604" s="513" t="s">
        <v>19</v>
      </c>
      <c r="F604" s="471">
        <v>0</v>
      </c>
      <c r="G604" s="512">
        <f>F604/totalb</f>
        <v>0</v>
      </c>
      <c r="H604" s="513" t="s">
        <v>19</v>
      </c>
      <c r="I604" s="471">
        <v>1</v>
      </c>
      <c r="J604" s="512">
        <f>I604/totalo</f>
        <v>0.045454545454545456</v>
      </c>
      <c r="K604" s="513" t="s">
        <v>19</v>
      </c>
    </row>
    <row r="605" spans="1:11" ht="11.25">
      <c r="A605" s="497" t="s">
        <v>365</v>
      </c>
      <c r="B605" s="518" t="s">
        <v>405</v>
      </c>
      <c r="C605" s="467"/>
      <c r="D605" s="496"/>
      <c r="E605" s="524"/>
      <c r="F605" s="467"/>
      <c r="G605" s="496"/>
      <c r="H605" s="524"/>
      <c r="I605" s="467"/>
      <c r="J605" s="496"/>
      <c r="K605" s="524"/>
    </row>
    <row r="606" spans="1:11" ht="11.25">
      <c r="A606" s="482"/>
      <c r="B606" s="518" t="s">
        <v>396</v>
      </c>
      <c r="C606" s="467">
        <v>105</v>
      </c>
      <c r="D606" s="496">
        <f>C606/totalw</f>
        <v>0.18041237113402062</v>
      </c>
      <c r="E606" s="522">
        <f>C606/(totalw-q19hnw)</f>
        <v>0.18197573656845753</v>
      </c>
      <c r="F606" s="467">
        <v>8</v>
      </c>
      <c r="G606" s="496">
        <f>F606/totalb</f>
        <v>0.1951219512195122</v>
      </c>
      <c r="H606" s="522">
        <f>F606/(totalb-q19hnb)</f>
        <v>0.1951219512195122</v>
      </c>
      <c r="I606" s="467">
        <v>1</v>
      </c>
      <c r="J606" s="496">
        <f>I606/totalo</f>
        <v>0.045454545454545456</v>
      </c>
      <c r="K606" s="522">
        <f>I606/(totalo-q19hno)</f>
        <v>0.047619047619047616</v>
      </c>
    </row>
    <row r="607" spans="1:11" ht="11.25">
      <c r="A607" s="482"/>
      <c r="B607" s="518" t="s">
        <v>397</v>
      </c>
      <c r="C607" s="467">
        <v>170</v>
      </c>
      <c r="D607" s="496">
        <f>C607/totalw</f>
        <v>0.2920962199312715</v>
      </c>
      <c r="E607" s="522">
        <f>C607/(totalw-q19hnw)</f>
        <v>0.29462738301559793</v>
      </c>
      <c r="F607" s="467">
        <v>14</v>
      </c>
      <c r="G607" s="496">
        <f>F607/totalb</f>
        <v>0.34146341463414637</v>
      </c>
      <c r="H607" s="522">
        <f>F607/(totalb-q19hnb)</f>
        <v>0.34146341463414637</v>
      </c>
      <c r="I607" s="467">
        <v>6</v>
      </c>
      <c r="J607" s="496">
        <f>I607/totalo</f>
        <v>0.2727272727272727</v>
      </c>
      <c r="K607" s="522">
        <f>I607/(totalo-q19hno)</f>
        <v>0.2857142857142857</v>
      </c>
    </row>
    <row r="608" spans="1:11" ht="11.25">
      <c r="A608" s="482"/>
      <c r="B608" s="518" t="s">
        <v>398</v>
      </c>
      <c r="C608" s="467">
        <v>201</v>
      </c>
      <c r="D608" s="496">
        <f>C608/totalw</f>
        <v>0.34536082474226804</v>
      </c>
      <c r="E608" s="522">
        <f>C608/(totalw-q19hnw)</f>
        <v>0.3483535528596187</v>
      </c>
      <c r="F608" s="467">
        <v>19</v>
      </c>
      <c r="G608" s="496">
        <f>F608/totalb</f>
        <v>0.4634146341463415</v>
      </c>
      <c r="H608" s="522">
        <f>F608/(totalb-q19hnb)</f>
        <v>0.4634146341463415</v>
      </c>
      <c r="I608" s="467">
        <v>13</v>
      </c>
      <c r="J608" s="496">
        <f>I608/totalo</f>
        <v>0.5909090909090909</v>
      </c>
      <c r="K608" s="522">
        <f>I608/(totalo-q19hno)</f>
        <v>0.6190476190476191</v>
      </c>
    </row>
    <row r="609" spans="1:11" ht="11.25">
      <c r="A609" s="499"/>
      <c r="B609" s="523" t="s">
        <v>18</v>
      </c>
      <c r="C609" s="500">
        <v>6</v>
      </c>
      <c r="D609" s="502">
        <f>C609/totalw</f>
        <v>0.010309278350515464</v>
      </c>
      <c r="E609" s="507" t="s">
        <v>19</v>
      </c>
      <c r="F609" s="500">
        <v>0</v>
      </c>
      <c r="G609" s="502">
        <f>F609/totalb</f>
        <v>0</v>
      </c>
      <c r="H609" s="507" t="s">
        <v>19</v>
      </c>
      <c r="I609" s="500">
        <v>2</v>
      </c>
      <c r="J609" s="502">
        <f>I609/totalo</f>
        <v>0.09090909090909091</v>
      </c>
      <c r="K609" s="507" t="s">
        <v>19</v>
      </c>
    </row>
    <row r="610" spans="1:11" ht="11.25">
      <c r="A610" s="497" t="s">
        <v>367</v>
      </c>
      <c r="B610" s="518" t="s">
        <v>406</v>
      </c>
      <c r="C610" s="467"/>
      <c r="D610" s="496"/>
      <c r="E610" s="524"/>
      <c r="F610" s="467"/>
      <c r="G610" s="496"/>
      <c r="H610" s="524"/>
      <c r="I610" s="467"/>
      <c r="J610" s="496"/>
      <c r="K610" s="524"/>
    </row>
    <row r="611" spans="1:11" ht="11.25">
      <c r="A611" s="482"/>
      <c r="B611" s="518" t="s">
        <v>396</v>
      </c>
      <c r="C611" s="467">
        <v>345</v>
      </c>
      <c r="D611" s="496">
        <f>C611/totalw</f>
        <v>0.5927835051546392</v>
      </c>
      <c r="E611" s="522">
        <f>C611/(totalw-q19hnw)</f>
        <v>0.5979202772963604</v>
      </c>
      <c r="F611" s="467">
        <v>24</v>
      </c>
      <c r="G611" s="496">
        <f>F611/totalb</f>
        <v>0.5853658536585366</v>
      </c>
      <c r="H611" s="522">
        <f>F611/(totalb-q19hnb)</f>
        <v>0.5853658536585366</v>
      </c>
      <c r="I611" s="467">
        <v>11</v>
      </c>
      <c r="J611" s="496">
        <f>I611/totalo</f>
        <v>0.5</v>
      </c>
      <c r="K611" s="522">
        <f>I611/(totalo-q19hno)</f>
        <v>0.5238095238095238</v>
      </c>
    </row>
    <row r="612" spans="1:11" ht="11.25">
      <c r="A612" s="482"/>
      <c r="B612" s="518" t="s">
        <v>397</v>
      </c>
      <c r="C612" s="467">
        <v>149</v>
      </c>
      <c r="D612" s="496">
        <f>C612/totalw</f>
        <v>0.25601374570446733</v>
      </c>
      <c r="E612" s="522">
        <f>C612/(totalw-q19hnw)</f>
        <v>0.2582322357019064</v>
      </c>
      <c r="F612" s="467">
        <v>10</v>
      </c>
      <c r="G612" s="496">
        <f>F612/totalb</f>
        <v>0.24390243902439024</v>
      </c>
      <c r="H612" s="522">
        <f>F612/(totalb-q19hnb)</f>
        <v>0.24390243902439024</v>
      </c>
      <c r="I612" s="467">
        <v>7</v>
      </c>
      <c r="J612" s="496">
        <f>I612/totalo</f>
        <v>0.3181818181818182</v>
      </c>
      <c r="K612" s="522">
        <f>I612/(totalo-q19hno)</f>
        <v>0.3333333333333333</v>
      </c>
    </row>
    <row r="613" spans="1:11" ht="11.25">
      <c r="A613" s="482"/>
      <c r="B613" s="518" t="s">
        <v>398</v>
      </c>
      <c r="C613" s="467">
        <v>83</v>
      </c>
      <c r="D613" s="496">
        <f>C613/totalw</f>
        <v>0.14261168384879724</v>
      </c>
      <c r="E613" s="522">
        <f>C613/(totalw-q19hnw)</f>
        <v>0.1438474870017331</v>
      </c>
      <c r="F613" s="467">
        <v>4</v>
      </c>
      <c r="G613" s="496">
        <f>F613/totalb</f>
        <v>0.0975609756097561</v>
      </c>
      <c r="H613" s="522">
        <f>F613/(totalb-q19hnb)</f>
        <v>0.0975609756097561</v>
      </c>
      <c r="I613" s="467">
        <v>3</v>
      </c>
      <c r="J613" s="496">
        <f>I613/totalo</f>
        <v>0.13636363636363635</v>
      </c>
      <c r="K613" s="522">
        <f>I613/(totalo-q19hno)</f>
        <v>0.14285714285714285</v>
      </c>
    </row>
    <row r="614" spans="1:11" ht="11.25">
      <c r="A614" s="499"/>
      <c r="B614" s="523" t="s">
        <v>18</v>
      </c>
      <c r="C614" s="500">
        <v>5</v>
      </c>
      <c r="D614" s="502">
        <f>C614/totalw</f>
        <v>0.00859106529209622</v>
      </c>
      <c r="E614" s="507" t="s">
        <v>19</v>
      </c>
      <c r="F614" s="500">
        <v>0</v>
      </c>
      <c r="G614" s="502">
        <f>F614/totalb</f>
        <v>0</v>
      </c>
      <c r="H614" s="507" t="s">
        <v>19</v>
      </c>
      <c r="I614" s="500">
        <v>1</v>
      </c>
      <c r="J614" s="502">
        <f>I614/totalo</f>
        <v>0.045454545454545456</v>
      </c>
      <c r="K614" s="507" t="s">
        <v>19</v>
      </c>
    </row>
    <row r="615" spans="1:11" ht="11.25">
      <c r="A615" s="557" t="s">
        <v>415</v>
      </c>
      <c r="B615" s="558"/>
      <c r="C615" s="558"/>
      <c r="D615" s="559"/>
      <c r="E615" s="559"/>
      <c r="F615" s="558"/>
      <c r="G615" s="559"/>
      <c r="H615" s="559"/>
      <c r="I615" s="558"/>
      <c r="J615" s="559"/>
      <c r="K615" s="560"/>
    </row>
    <row r="616" spans="1:11" ht="15.75" customHeight="1">
      <c r="A616" s="561" t="s">
        <v>421</v>
      </c>
      <c r="B616" s="465"/>
      <c r="C616" s="465"/>
      <c r="D616" s="465"/>
      <c r="E616" s="465"/>
      <c r="F616" s="465"/>
      <c r="G616" s="465"/>
      <c r="H616" s="465"/>
      <c r="I616" s="465"/>
      <c r="J616" s="465"/>
      <c r="K616" s="465"/>
    </row>
    <row r="617" spans="4:38" ht="11.25">
      <c r="D617" s="562"/>
      <c r="E617" s="562"/>
      <c r="G617" s="562"/>
      <c r="H617" s="562"/>
      <c r="J617" s="562"/>
      <c r="K617" s="562"/>
      <c r="O617" s="562"/>
      <c r="P617" s="562"/>
      <c r="Q617" s="474"/>
      <c r="S617" s="562"/>
      <c r="T617" s="562"/>
      <c r="U617" s="474"/>
      <c r="W617" s="562"/>
      <c r="X617" s="562"/>
      <c r="AC617" s="562"/>
      <c r="AD617" s="562"/>
      <c r="AE617" s="474"/>
      <c r="AG617" s="562"/>
      <c r="AH617" s="562"/>
      <c r="AI617" s="474"/>
      <c r="AK617" s="562"/>
      <c r="AL617" s="562"/>
    </row>
    <row r="618" spans="4:38" ht="11.25">
      <c r="D618" s="562"/>
      <c r="E618" s="562"/>
      <c r="G618" s="562"/>
      <c r="H618" s="562"/>
      <c r="J618" s="562"/>
      <c r="K618" s="562"/>
      <c r="O618" s="562"/>
      <c r="P618" s="562"/>
      <c r="Q618" s="474"/>
      <c r="S618" s="562"/>
      <c r="T618" s="562"/>
      <c r="U618" s="474"/>
      <c r="W618" s="562"/>
      <c r="X618" s="562"/>
      <c r="AC618" s="562"/>
      <c r="AD618" s="562"/>
      <c r="AE618" s="474"/>
      <c r="AG618" s="562"/>
      <c r="AH618" s="562"/>
      <c r="AI618" s="474"/>
      <c r="AK618" s="562"/>
      <c r="AL618" s="562"/>
    </row>
  </sheetData>
  <printOptions horizontalCentered="1"/>
  <pageMargins left="0.17" right="0.17" top="0.42" bottom="0.3" header="0.44" footer="0.3"/>
  <pageSetup horizontalDpi="300" verticalDpi="300" orientation="landscape" scale="96" r:id="rId2"/>
  <headerFooter alignWithMargins="0">
    <oddFooter xml:space="preserve">&amp;C </oddFooter>
  </headerFooter>
  <rowBreaks count="12" manualBreakCount="12">
    <brk id="46" max="10" man="1"/>
    <brk id="96" max="10" man="1"/>
    <brk id="144" max="10" man="1"/>
    <brk id="197" max="10" man="1"/>
    <brk id="244" max="10" man="1"/>
    <brk id="288" max="10" man="1"/>
    <brk id="336" max="10" man="1"/>
    <brk id="383" max="10" man="1"/>
    <brk id="435" max="10" man="1"/>
    <brk id="479" max="10" man="1"/>
    <brk id="523" max="10" man="1"/>
    <brk id="5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2005-03-30T18:02:31Z</cp:lastPrinted>
  <dcterms:created xsi:type="dcterms:W3CDTF">2005-03-30T15:26:57Z</dcterms:created>
  <dcterms:modified xsi:type="dcterms:W3CDTF">2005-03-30T18:05:41Z</dcterms:modified>
  <cp:category/>
  <cp:version/>
  <cp:contentType/>
  <cp:contentStatus/>
</cp:coreProperties>
</file>